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AD5D25A-819F-497F-9DC9-3921045DDABA}" xr6:coauthVersionLast="36" xr6:coauthVersionMax="36" xr10:uidLastSave="{00000000-0000-0000-0000-000000000000}"/>
  <bookViews>
    <workbookView xWindow="-120" yWindow="-120" windowWidth="29040" windowHeight="15840" tabRatio="777" xr2:uid="{00000000-000D-0000-FFFF-FFFF00000000}"/>
  </bookViews>
  <sheets>
    <sheet name="COVER" sheetId="24" r:id="rId1"/>
    <sheet name="Aud Quest 2" sheetId="28" r:id="rId2"/>
    <sheet name="TOC" sheetId="16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8" i="183" l="1"/>
  <c r="G41" i="174" l="1"/>
  <c r="G40" i="174"/>
  <c r="G39" i="174"/>
  <c r="G38" i="174"/>
  <c r="D45" i="174"/>
  <c r="M17" i="186"/>
  <c r="M15" i="186"/>
  <c r="M13" i="186"/>
  <c r="M27" i="186"/>
  <c r="K17" i="186"/>
  <c r="J17" i="186"/>
  <c r="H17" i="186"/>
  <c r="G17" i="186"/>
  <c r="F17" i="186"/>
  <c r="K15" i="186"/>
  <c r="J15" i="186"/>
  <c r="I15" i="186"/>
  <c r="H15" i="186"/>
  <c r="G15" i="186"/>
  <c r="F15" i="186"/>
  <c r="J13" i="186"/>
  <c r="J27" i="186" s="1"/>
  <c r="E17" i="186"/>
  <c r="E15" i="186"/>
  <c r="M20" i="185"/>
  <c r="M27" i="185"/>
  <c r="K20" i="185"/>
  <c r="K27" i="185" s="1"/>
  <c r="J20" i="185"/>
  <c r="I20" i="185"/>
  <c r="H20" i="185"/>
  <c r="G20" i="185"/>
  <c r="F20" i="185"/>
  <c r="F27" i="185" s="1"/>
  <c r="E20" i="185"/>
  <c r="M16" i="185"/>
  <c r="K16" i="185"/>
  <c r="J16" i="185"/>
  <c r="I16" i="185"/>
  <c r="I27" i="185" s="1"/>
  <c r="I17" i="186" s="1"/>
  <c r="H16" i="185"/>
  <c r="H27" i="185" s="1"/>
  <c r="G16" i="185"/>
  <c r="F16" i="185"/>
  <c r="E16" i="185"/>
  <c r="J27" i="185"/>
  <c r="G27" i="185"/>
  <c r="E27" i="185"/>
  <c r="M27" i="184"/>
  <c r="K27" i="184"/>
  <c r="J27" i="184"/>
  <c r="I27" i="184"/>
  <c r="H27" i="184"/>
  <c r="G27" i="184"/>
  <c r="F27" i="184"/>
  <c r="E27" i="184"/>
  <c r="K27" i="183"/>
  <c r="K13" i="186" s="1"/>
  <c r="K27" i="186" s="1"/>
  <c r="J27" i="183"/>
  <c r="I27" i="183"/>
  <c r="I13" i="186" s="1"/>
  <c r="H27" i="183"/>
  <c r="H13" i="186" s="1"/>
  <c r="H27" i="186" s="1"/>
  <c r="G27" i="183"/>
  <c r="G13" i="186" s="1"/>
  <c r="G27" i="186" s="1"/>
  <c r="F27" i="183"/>
  <c r="F13" i="186" s="1"/>
  <c r="F27" i="186" s="1"/>
  <c r="D35" i="171" s="1"/>
  <c r="E27" i="183"/>
  <c r="E13" i="186" s="1"/>
  <c r="M27" i="179"/>
  <c r="K27" i="179"/>
  <c r="J27" i="179"/>
  <c r="I27" i="179"/>
  <c r="H27" i="179"/>
  <c r="G27" i="179"/>
  <c r="F27" i="179"/>
  <c r="M19" i="179"/>
  <c r="K19" i="179"/>
  <c r="J19" i="179"/>
  <c r="I19" i="179"/>
  <c r="H19" i="179"/>
  <c r="G19" i="179"/>
  <c r="F19" i="179"/>
  <c r="E27" i="179"/>
  <c r="E19" i="179"/>
  <c r="I27" i="186" l="1"/>
  <c r="E27" i="186"/>
  <c r="L27" i="186"/>
  <c r="L26" i="186"/>
  <c r="L25" i="186"/>
  <c r="L24" i="186"/>
  <c r="L23" i="186"/>
  <c r="L22" i="186"/>
  <c r="L21" i="186"/>
  <c r="L20" i="186"/>
  <c r="L19" i="186"/>
  <c r="L18" i="186"/>
  <c r="L17" i="186"/>
  <c r="L16" i="186"/>
  <c r="L15" i="186"/>
  <c r="L14" i="186"/>
  <c r="L13" i="186"/>
  <c r="L12" i="186"/>
  <c r="L11" i="186"/>
  <c r="B4" i="186"/>
  <c r="L27" i="185"/>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7" i="183"/>
  <c r="L16" i="183"/>
  <c r="L15" i="183"/>
  <c r="L14" i="183"/>
  <c r="L13" i="183"/>
  <c r="L12" i="183"/>
  <c r="L11" i="183"/>
  <c r="B4" i="183"/>
  <c r="K65" i="5" l="1"/>
  <c r="E10" i="108" l="1"/>
  <c r="M19" i="3" l="1"/>
  <c r="E4" i="7"/>
  <c r="E12" i="7"/>
  <c r="E10" i="7"/>
  <c r="E16" i="7"/>
  <c r="E11" i="7"/>
  <c r="E14" i="7"/>
  <c r="E8" i="7"/>
  <c r="E7" i="7"/>
  <c r="E6" i="7"/>
  <c r="E5" i="7"/>
  <c r="C65" i="5"/>
  <c r="G14" i="29"/>
  <c r="D12" i="11"/>
  <c r="J65" i="5"/>
  <c r="E321" i="29"/>
  <c r="G65" i="5"/>
  <c r="D280" i="29"/>
  <c r="D276" i="29"/>
  <c r="D268" i="29"/>
  <c r="D267" i="29"/>
  <c r="D266" i="29"/>
  <c r="D264" i="29"/>
  <c r="D259" i="29"/>
  <c r="D252" i="29"/>
  <c r="D246" i="29"/>
  <c r="D245" i="29"/>
  <c r="D241" i="29"/>
  <c r="D234" i="29"/>
  <c r="D233" i="29"/>
  <c r="D223" i="29"/>
  <c r="D222" i="29"/>
  <c r="D219" i="29"/>
  <c r="D217" i="29"/>
  <c r="D215" i="29"/>
  <c r="D216" i="29"/>
  <c r="F65" i="5"/>
  <c r="E182" i="29"/>
  <c r="C182" i="29"/>
  <c r="G182" i="29"/>
  <c r="D182" i="29"/>
  <c r="F182" i="29"/>
  <c r="F152" i="5"/>
  <c r="D65" i="5"/>
  <c r="G124" i="29"/>
  <c r="F124" i="29"/>
  <c r="E124" i="29"/>
  <c r="D124" i="29"/>
  <c r="C124" i="29"/>
  <c r="G5" i="29"/>
  <c r="E75" i="29"/>
  <c r="C75" i="29"/>
  <c r="D75" i="29"/>
  <c r="F71" i="29"/>
  <c r="E71" i="29"/>
  <c r="F63" i="29"/>
  <c r="D63" i="29"/>
  <c r="C63" i="29"/>
  <c r="F61" i="29"/>
  <c r="H60" i="29"/>
  <c r="F60" i="29"/>
  <c r="E60" i="29"/>
  <c r="C60" i="29"/>
  <c r="H55" i="29"/>
  <c r="G55" i="29"/>
  <c r="F55" i="29"/>
  <c r="E55" i="29"/>
  <c r="D55" i="29"/>
  <c r="D50" i="29"/>
  <c r="E49" i="29"/>
  <c r="E46" i="29"/>
  <c r="F45" i="29"/>
  <c r="C45" i="29"/>
  <c r="E44" i="29"/>
  <c r="C44" i="29"/>
  <c r="G38" i="29"/>
  <c r="E38" i="29"/>
  <c r="D37" i="29"/>
  <c r="C37" i="29"/>
  <c r="F14" i="29"/>
  <c r="E14" i="29"/>
  <c r="H14" i="29"/>
  <c r="D14" i="29"/>
  <c r="C14" i="29"/>
  <c r="F13" i="29"/>
  <c r="E13" i="29"/>
  <c r="D13" i="29"/>
  <c r="C13" i="29"/>
  <c r="D10" i="29"/>
  <c r="D8" i="29"/>
  <c r="C8" i="29"/>
  <c r="H5" i="29"/>
  <c r="F5" i="29"/>
  <c r="E5" i="29"/>
  <c r="D5" i="29"/>
  <c r="C5" i="29"/>
  <c r="D7" i="29"/>
  <c r="C7" i="29"/>
  <c r="C200" i="5"/>
  <c r="C79" i="5"/>
  <c r="C4" i="3"/>
  <c r="L10" i="37"/>
  <c r="H10" i="37"/>
  <c r="F10" i="37"/>
  <c r="D10" i="3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6"/>
  <c r="B2" i="184"/>
  <c r="B2" i="183"/>
  <c r="B1" i="183"/>
  <c r="B1" i="186"/>
  <c r="B1" i="185"/>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F62" i="34" s="1"/>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E27" i="108"/>
  <c r="G27" i="108"/>
  <c r="F36" i="108"/>
  <c r="G28" i="108"/>
  <c r="D36" i="108"/>
  <c r="E31" i="108"/>
  <c r="G31" i="108"/>
  <c r="E33" i="108"/>
  <c r="G33" i="108"/>
  <c r="E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H28" i="118"/>
  <c r="D22" i="37"/>
  <c r="J22" i="37"/>
  <c r="D24" i="37"/>
  <c r="B4270" i="106" s="1"/>
  <c r="D4270" i="106" s="1"/>
  <c r="L5" i="11"/>
  <c r="B2056" i="106" s="1"/>
  <c r="D2056" i="106" s="1"/>
  <c r="D69" i="36" l="1"/>
  <c r="L13" i="11"/>
  <c r="B2060" i="106" s="1"/>
  <c r="D2060" i="106" s="1"/>
  <c r="D54" i="36"/>
  <c r="C342" i="29"/>
  <c r="B7216" i="106" s="1"/>
  <c r="D7216" i="106" s="1"/>
  <c r="G14" i="4"/>
  <c r="B2609" i="106" s="1"/>
  <c r="D2609" i="106" s="1"/>
  <c r="K184" i="29"/>
  <c r="F13" i="4" s="1"/>
  <c r="B2596" i="106" s="1"/>
  <c r="D2596" i="106" s="1"/>
  <c r="F28" i="108"/>
  <c r="C129" i="29"/>
  <c r="G30" i="108"/>
  <c r="E30" i="108"/>
  <c r="D27" i="108"/>
  <c r="F34" i="34"/>
  <c r="D17" i="7"/>
  <c r="B4104" i="106" s="1"/>
  <c r="D4104" i="106" s="1"/>
  <c r="D11" i="37"/>
  <c r="F37" i="108"/>
  <c r="E28" i="108"/>
  <c r="B4087" i="106"/>
  <c r="D4087" i="106" s="1"/>
  <c r="L22" i="37"/>
  <c r="H33" i="118"/>
  <c r="D14" i="4"/>
  <c r="B2570" i="106" s="1"/>
  <c r="D2570" i="106" s="1"/>
  <c r="L367" i="29"/>
  <c r="F19" i="7"/>
  <c r="B1807" i="106" s="1"/>
  <c r="D1807" i="106" s="1"/>
  <c r="F65" i="34"/>
  <c r="G39" i="108"/>
  <c r="G29" i="108"/>
  <c r="D7245" i="106"/>
  <c r="B7047" i="106"/>
  <c r="D7047" i="106" s="1"/>
  <c r="D6103" i="106"/>
  <c r="C352" i="29"/>
  <c r="K76" i="4"/>
  <c r="B3586" i="106" s="1"/>
  <c r="D3586" i="106" s="1"/>
  <c r="B1308" i="106"/>
  <c r="D1308" i="106" s="1"/>
  <c r="E174" i="29"/>
  <c r="B1309" i="106" s="1"/>
  <c r="D1309" i="106" s="1"/>
  <c r="B1126" i="106"/>
  <c r="D1126" i="106" s="1"/>
  <c r="F14" i="4"/>
  <c r="B2597" i="106" s="1"/>
  <c r="D2597" i="106" s="1"/>
  <c r="D37" i="108"/>
  <c r="D26" i="108"/>
  <c r="D31" i="36"/>
  <c r="K41" i="3"/>
  <c r="B3568" i="106" s="1"/>
  <c r="D3568" i="106" s="1"/>
  <c r="D9" i="7"/>
  <c r="B1767" i="106" s="1"/>
  <c r="D1767" i="106" s="1"/>
  <c r="H29" i="118"/>
  <c r="K28" i="118" s="1"/>
  <c r="O27" i="118" s="1"/>
  <c r="O29" i="118" s="1"/>
  <c r="N22" i="3"/>
  <c r="B283" i="106" s="1"/>
  <c r="D283" i="106" s="1"/>
  <c r="L342" i="29"/>
  <c r="F49" i="34"/>
  <c r="G38" i="108"/>
  <c r="D31" i="108"/>
  <c r="E29" i="108"/>
  <c r="F26" i="108"/>
  <c r="F41" i="108" s="1"/>
  <c r="G43" i="108"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L16" i="11"/>
  <c r="B2061" i="106" s="1"/>
  <c r="D2061" i="106" s="1"/>
  <c r="B2031" i="106"/>
  <c r="D2031" i="106" s="1"/>
  <c r="D41" i="108"/>
  <c r="E43" i="108" s="1"/>
  <c r="B1381" i="106"/>
  <c r="D1381" i="106" s="1"/>
  <c r="B1317" i="106"/>
  <c r="D1317" i="106" s="1"/>
  <c r="I26" i="12"/>
  <c r="B7741" i="106" s="1"/>
  <c r="D7741" i="106" s="1"/>
  <c r="B1996" i="106"/>
  <c r="D1996" i="106" s="1"/>
  <c r="D52" i="36"/>
  <c r="K77" i="4"/>
  <c r="B3587" i="106" s="1"/>
  <c r="D3587" i="106" s="1"/>
  <c r="B5527" i="106"/>
  <c r="D5527" i="106" s="1"/>
  <c r="D44" i="36"/>
  <c r="F174" i="34"/>
  <c r="K342" i="29"/>
  <c r="F13" i="34" s="1"/>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20" i="4"/>
  <c r="B6230" i="106" s="1"/>
  <c r="D6230" i="106" s="1"/>
  <c r="J10" i="4"/>
  <c r="B6225" i="106" s="1"/>
  <c r="D6225" i="106" s="1"/>
  <c r="B6227" i="106"/>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K19" i="4"/>
  <c r="B4144" i="106" s="1"/>
  <c r="D4144" i="106" s="1"/>
  <c r="J78" i="4"/>
  <c r="B6263" i="106" s="1"/>
  <c r="D6263"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<sst xmlns="http://schemas.openxmlformats.org/spreadsheetml/2006/main" count="5363" uniqueCount="2156">
  <si>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</si>
  <si>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</si>
  <si>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</si>
  <si>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</si>
  <si>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</si>
  <si>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</si>
  <si>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</si>
  <si>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</si>
  <si>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</si>
  <si>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</si>
  <si>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</si>
  <si>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</si>
  <si>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</si>
  <si>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</si>
  <si>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</si>
  <si>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</si>
  <si>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</si>
  <si>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</si>
  <si>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</si>
  <si>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</si>
  <si>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</si>
  <si>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</si>
  <si>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</si>
  <si>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</si>
  <si>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</si>
  <si>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</si>
  <si>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</si>
  <si>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</si>
  <si>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</si>
  <si>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</si>
  <si>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</si>
  <si>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</si>
  <si>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</si>
  <si>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</si>
  <si>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</si>
  <si>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</si>
  <si>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</si>
  <si>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</si>
  <si>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</si>
  <si>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</si>
  <si>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</si>
  <si>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</si>
  <si>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</si>
  <si>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</si>
  <si>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</si>
  <si>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</si>
  <si>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</si>
  <si>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</si>
  <si>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</si>
  <si>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</si>
  <si>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</si>
  <si>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</si>
  <si>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</si>
  <si>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</si>
  <si>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</si>
  <si>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</si>
  <si>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</si>
  <si>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</si>
  <si>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</si>
  <si>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</si>
  <si>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</si>
  <si>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</si>
  <si>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</si>
  <si>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</si>
  <si>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</si>
  <si>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</si>
  <si>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</si>
  <si>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</si>
  <si>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</si>
  <si>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</si>
  <si>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</si>
  <si>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</si>
  <si>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</si>
  <si>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</si>
  <si>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</si>
  <si>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</si>
  <si>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</si>
  <si>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</si>
  <si>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</si>
  <si>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</si>
  <si>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</si>
  <si>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</si>
  <si>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</si>
  <si>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</si>
  <si>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</si>
  <si>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</si>
  <si>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</si>
  <si>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</si>
  <si>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</si>
  <si>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</si>
  <si>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</si>
  <si>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</si>
  <si>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</si>
  <si>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</si>
  <si>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</si>
  <si>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</si>
  <si>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</si>
  <si>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</si>
  <si>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</si>
  <si>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</si>
  <si>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</si>
  <si>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</si>
  <si>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</si>
  <si>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</si>
  <si>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</si>
  <si>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</si>
  <si>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</si>
  <si>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</si>
  <si>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</si>
  <si>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</si>
  <si>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</si>
  <si>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</si>
  <si>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</si>
  <si>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</si>
  <si>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</si>
  <si>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</si>
  <si>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</si>
  <si>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</si>
  <si>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</si>
  <si>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</si>
  <si>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</si>
  <si>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</si>
  <si>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</si>
  <si>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</si>
  <si>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</si>
  <si>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</si>
  <si>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</si>
  <si>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</si>
  <si>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</si>
  <si>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</si>
  <si>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</si>
  <si>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</si>
  <si>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</si>
  <si>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</si>
  <si>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</si>
  <si>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</si>
  <si>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</si>
  <si>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</si>
  <si>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</si>
  <si>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</si>
  <si>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</si>
  <si>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</si>
  <si>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</si>
  <si>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</si>
  <si>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</si>
  <si>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</si>
  <si>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</si>
  <si>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</si>
  <si>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</si>
  <si>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</si>
  <si>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</si>
  <si>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</si>
  <si>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</si>
  <si>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</si>
  <si>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</si>
  <si>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</si>
  <si>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</si>
  <si>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</si>
  <si>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</si>
  <si>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</si>
  <si>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</si>
  <si>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</si>
  <si>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</si>
  <si>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</si>
  <si>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</si>
  <si>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</si>
  <si>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</si>
  <si>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</si>
  <si>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</si>
  <si>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</si>
  <si>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</si>
  <si>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</si>
  <si>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</si>
  <si>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</si>
  <si>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</si>
  <si>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</si>
  <si>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</si>
  <si>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</si>
  <si>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</si>
  <si>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</si>
  <si>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</si>
  <si>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</si>
  <si>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</si>
  <si>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</si>
  <si>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</si>
  <si>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</si>
  <si>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</si>
  <si>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</si>
  <si>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</si>
  <si>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</si>
  <si>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</si>
  <si>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</si>
  <si>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</si>
  <si>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</si>
  <si>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</si>
  <si>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</si>
  <si>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</si>
  <si>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</si>
  <si>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</si>
  <si>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</si>
  <si>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</si>
  <si>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</si>
  <si>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</si>
  <si>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</si>
  <si>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</si>
  <si>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</si>
  <si>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</si>
  <si>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</si>
  <si>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</si>
  <si>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</si>
  <si>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</si>
  <si>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</si>
  <si>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</si>
  <si>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</si>
  <si>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</si>
  <si>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</si>
  <si>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</si>
  <si>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</si>
  <si>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</si>
  <si>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</si>
  <si>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</si>
  <si>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</si>
  <si>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</si>
  <si>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</si>
  <si>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</si>
  <si>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</si>
  <si>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</si>
  <si>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</si>
  <si>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</si>
  <si>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</si>
  <si>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</si>
  <si>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</si>
  <si>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</si>
  <si>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</si>
  <si>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</si>
  <si>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</si>
  <si>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</si>
  <si>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</si>
  <si>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</si>
  <si>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</si>
  <si>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</si>
  <si>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</si>
  <si>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</si>
  <si>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</si>
  <si>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</si>
  <si>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</si>
  <si>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</si>
  <si>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</si>
  <si>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</si>
  <si>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</si>
  <si>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</si>
  <si>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</si>
  <si>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</si>
  <si>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</si>
  <si>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</si>
  <si>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</si>
  <si>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</si>
  <si>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</si>
  <si>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</si>
  <si>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</si>
  <si>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</si>
  <si>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</si>
  <si>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</si>
  <si>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</si>
  <si>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</si>
  <si>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</si>
  <si>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</si>
  <si>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</si>
  <si>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</si>
  <si>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</si>
  <si>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</si>
  <si>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</si>
  <si>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</si>
  <si>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</si>
  <si>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</si>
  <si>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</si>
  <si>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</si>
  <si>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</si>
  <si>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</si>
  <si>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</si>
  <si>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</si>
  <si>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</si>
  <si>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</si>
  <si>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</si>
  <si>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</si>
  <si>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</si>
  <si>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</si>
  <si>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</si>
  <si>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</si>
  <si>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</si>
  <si>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</si>
  <si>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</si>
  <si>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</si>
  <si>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</si>
  <si>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</si>
  <si>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</si>
  <si>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</si>
  <si>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</si>
  <si>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</si>
  <si>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</si>
  <si>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</si>
  <si>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</si>
  <si>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</si>
  <si>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</si>
  <si>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</si>
  <si>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</si>
  <si>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</si>
  <si>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</si>
  <si>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</si>
  <si>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</si>
  <si>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</si>
  <si>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</si>
  <si>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</si>
  <si>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</si>
  <si>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</si>
  <si>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</si>
  <si>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</si>
  <si>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</si>
  <si>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</si>
  <si>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</si>
  <si>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</si>
  <si>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</si>
  <si>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</si>
  <si>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</si>
  <si>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</si>
  <si>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</si>
  <si>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</si>
  <si>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</si>
  <si>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</si>
  <si>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</si>
  <si>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</si>
  <si>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</si>
  <si>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</si>
  <si>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</si>
  <si>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</si>
  <si>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</si>
  <si>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</si>
  <si>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</si>
  <si>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</si>
  <si>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</si>
  <si>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</si>
  <si>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</si>
  <si>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</si>
  <si>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</si>
  <si>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</si>
  <si>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</si>
  <si>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</si>
  <si>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</si>
  <si>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</si>
  <si>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</si>
  <si>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</si>
  <si>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</si>
  <si>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</si>
  <si>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</si>
  <si>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</si>
  <si>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</si>
  <si>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</si>
  <si>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</si>
  <si>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</si>
  <si>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</si>
  <si>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</si>
  <si>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</si>
  <si>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</si>
  <si>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</si>
  <si>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</si>
  <si>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</si>
  <si>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</si>
  <si>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</si>
  <si>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</si>
  <si>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</si>
  <si>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</si>
  <si>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</si>
  <si>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</si>
  <si>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</si>
  <si>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</si>
  <si>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</si>
  <si>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</si>
  <si>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</si>
  <si>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</si>
  <si>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</si>
  <si>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</si>
  <si>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</si>
  <si>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</si>
  <si>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</si>
  <si>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</si>
  <si>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</si>
  <si>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</si>
  <si>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</si>
  <si>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</si>
  <si>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</si>
  <si>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</si>
  <si>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</si>
  <si>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</si>
  <si>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</si>
  <si>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</si>
  <si>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</si>
  <si>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</si>
  <si>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</si>
  <si>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</si>
  <si>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</si>
  <si>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</si>
  <si>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</si>
  <si>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</si>
  <si>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</si>
  <si>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</si>
  <si>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</si>
  <si>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</si>
  <si>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</si>
  <si>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</si>
  <si>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</si>
  <si>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</si>
  <si>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</si>
  <si>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</si>
  <si>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</si>
  <si>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</si>
  <si>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</si>
  <si>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</si>
  <si>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</si>
  <si>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</si>
  <si>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</si>
  <si>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</si>
  <si>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</si>
  <si>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</si>
  <si>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</si>
  <si>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</si>
  <si>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</si>
  <si>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</si>
  <si>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</si>
  <si>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</si>
  <si>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</si>
  <si>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</si>
  <si>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</si>
  <si>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</si>
  <si>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</si>
  <si>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</si>
  <si>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</si>
  <si>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</si>
  <si>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</si>
  <si>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</si>
  <si>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</si>
  <si>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</si>
  <si>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</si>
  <si>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</si>
  <si>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</si>
  <si>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</si>
  <si>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</si>
  <si>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</si>
  <si>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</si>
  <si>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</si>
  <si>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</si>
  <si>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</si>
  <si>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</si>
  <si>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</si>
  <si>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</si>
  <si>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</si>
  <si>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</si>
  <si>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</si>
  <si>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</si>
  <si>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</si>
  <si>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</si>
  <si>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</si>
  <si>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</si>
  <si>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</si>
  <si>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</si>
  <si>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</si>
  <si>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</si>
  <si>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</si>
  <si>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</si>
  <si>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</si>
  <si>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</si>
  <si>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</si>
  <si>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</si>
  <si>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</si>
  <si>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</si>
  <si>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</si>
  <si>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</si>
  <si>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</si>
  <si>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</si>
  <si>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</si>
  <si>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</si>
  <si>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</si>
  <si>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</si>
  <si>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</si>
  <si>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</si>
  <si>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</si>
  <si>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</si>
  <si>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</si>
  <si>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</si>
  <si>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</si>
  <si>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</si>
  <si>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</si>
  <si>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</si>
  <si>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</si>
  <si>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</si>
  <si>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</si>
  <si>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</si>
  <si>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</si>
  <si>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</si>
  <si>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</si>
  <si>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</si>
  <si>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</si>
  <si>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</si>
  <si>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</si>
  <si>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</si>
  <si>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</si>
  <si>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</si>
  <si>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</si>
  <si>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</si>
  <si>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</si>
  <si>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</si>
  <si>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</si>
  <si>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</si>
  <si>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</si>
  <si>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</si>
  <si>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</si>
  <si>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</si>
  <si>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</si>
  <si>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</si>
  <si>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</si>
  <si>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</si>
  <si>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</si>
  <si>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</si>
  <si>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</si>
  <si>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</si>
  <si>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</si>
  <si>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</si>
  <si>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</si>
  <si>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</si>
  <si>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</si>
  <si>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</si>
  <si>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</si>
  <si>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</si>
  <si>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</si>
  <si>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</si>
  <si>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</si>
  <si>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</si>
  <si>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</si>
  <si>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</si>
  <si>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</si>
  <si>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</si>
  <si>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</si>
  <si>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</si>
  <si>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</si>
  <si>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</si>
  <si>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</si>
  <si>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</si>
  <si>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</si>
  <si>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</si>
  <si>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</si>
  <si>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</si>
  <si>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</si>
  <si>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</si>
  <si>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</si>
  <si>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</si>
  <si>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</si>
  <si>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</si>
  <si>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</si>
  <si>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</si>
  <si>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</si>
  <si>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</si>
  <si>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</si>
  <si>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</si>
  <si>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</si>
  <si>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</si>
  <si>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</si>
  <si>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</si>
  <si>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</si>
  <si>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</si>
  <si>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</si>
  <si>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</si>
  <si>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</si>
  <si>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</si>
  <si>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</si>
  <si>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</si>
  <si>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</si>
  <si>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</si>
  <si>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</si>
  <si>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</si>
  <si>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</si>
  <si>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</si>
  <si>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</si>
  <si>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</si>
  <si>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</si>
  <si>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</si>
  <si>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</si>
  <si>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</si>
  <si>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</si>
  <si>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</si>
  <si>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</si>
  <si>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</si>
  <si>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</si>
  <si>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</si>
  <si>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</si>
  <si>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</si>
  <si>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</si>
  <si>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</si>
  <si>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</si>
  <si>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</si>
  <si>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</si>
  <si>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</si>
  <si>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</si>
  <si>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</si>
  <si>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</si>
  <si>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</si>
  <si>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</si>
  <si>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</si>
  <si>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</si>
  <si>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</si>
  <si>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</si>
  <si>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</si>
  <si>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</si>
  <si>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</si>
  <si>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</si>
  <si>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</si>
  <si>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</si>
  <si>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</si>
  <si>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</si>
  <si>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</si>
  <si>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</si>
  <si>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</si>
  <si>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</si>
  <si>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</si>
  <si>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</si>
  <si>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</si>
  <si>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</si>
  <si>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</si>
  <si>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</si>
  <si>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</si>
  <si>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</si>
  <si>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</si>
  <si>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</si>
  <si>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</si>
  <si>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</si>
  <si>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</si>
  <si>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</si>
  <si>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</si>
  <si>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</si>
  <si>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</si>
  <si>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</si>
  <si>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</si>
  <si>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</si>
  <si>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</si>
  <si>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</si>
  <si>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</si>
  <si>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</si>
  <si>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</si>
  <si>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</si>
  <si>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</si>
  <si>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</si>
  <si>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</si>
  <si>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</si>
  <si>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</si>
  <si>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</si>
  <si>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</si>
  <si>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</si>
  <si>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</si>
  <si>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</si>
  <si>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</si>
  <si>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</si>
  <si>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</si>
  <si>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</si>
  <si>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</si>
  <si>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</si>
  <si>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</si>
  <si>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</si>
  <si>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</si>
  <si>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</si>
  <si>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</si>
  <si>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</si>
  <si>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</si>
  <si>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</si>
  <si>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</si>
  <si>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</si>
  <si>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</si>
  <si>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</si>
  <si>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</si>
  <si>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</si>
  <si>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</si>
  <si>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</si>
  <si>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</si>
  <si>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</si>
  <si>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</si>
  <si>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</si>
  <si>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</si>
  <si>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</si>
  <si>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</si>
  <si>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</si>
  <si>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</si>
  <si>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</si>
  <si>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</si>
  <si>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</si>
  <si>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</si>
  <si>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</si>
  <si>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</si>
  <si>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</si>
  <si>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</si>
  <si>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</si>
  <si>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</si>
  <si>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</si>
  <si>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</si>
  <si>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</si>
  <si>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</si>
  <si>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</si>
  <si>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</si>
  <si>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</si>
  <si>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</si>
  <si>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</si>
  <si>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</si>
  <si>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</si>
  <si>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</si>
  <si>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</si>
  <si>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</si>
  <si>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</si>
  <si>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</si>
  <si>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</si>
  <si>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</si>
  <si>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</si>
  <si>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</si>
  <si>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</si>
  <si>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</si>
  <si>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</si>
  <si>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</si>
  <si>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</si>
  <si>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</si>
  <si>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</si>
  <si>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</si>
  <si>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</si>
  <si>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</si>
  <si>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</si>
  <si>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</si>
  <si>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</si>
  <si>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</si>
  <si>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</si>
  <si>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</si>
  <si>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</si>
  <si>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</si>
  <si>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</si>
  <si>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</si>
  <si>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</si>
  <si>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</si>
  <si>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</si>
  <si>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</si>
  <si>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</si>
  <si>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</si>
  <si>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</si>
  <si>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</si>
  <si>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</si>
  <si>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</si>
  <si>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</si>
  <si>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</si>
  <si>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</si>
  <si>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</si>
  <si>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</si>
  <si>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</si>
  <si>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</si>
  <si>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</si>
  <si>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</si>
  <si>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</si>
  <si>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</si>
  <si>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</si>
  <si>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</si>
  <si>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</si>
  <si>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</si>
  <si>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</si>
  <si>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</si>
  <si>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</si>
  <si>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</si>
  <si>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</si>
  <si>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</si>
  <si>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</si>
  <si>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</si>
  <si>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</si>
  <si>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</si>
  <si>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</si>
  <si>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</si>
  <si>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</si>
  <si>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</si>
  <si>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</si>
  <si>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</si>
  <si>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</si>
  <si>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</si>
  <si>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</si>
  <si>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</si>
  <si>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</si>
  <si>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</si>
  <si>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</si>
  <si>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</si>
  <si>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</si>
  <si>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</si>
  <si>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</si>
  <si>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</si>
  <si>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</si>
  <si>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</si>
  <si>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</si>
  <si>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</si>
  <si>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</si>
  <si>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</si>
  <si>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</si>
  <si>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</si>
  <si>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</si>
  <si>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</si>
  <si>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</si>
  <si>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</si>
  <si>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</si>
  <si>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</si>
  <si>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</si>
  <si>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</si>
  <si>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</si>
  <si>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</si>
  <si>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</si>
  <si>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</si>
  <si>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</si>
  <si>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</si>
  <si>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</si>
  <si>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</si>
  <si>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</si>
  <si>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</si>
  <si>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</si>
  <si>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</si>
  <si>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</si>
  <si>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</si>
  <si>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</si>
  <si>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</si>
  <si>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</si>
  <si>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</si>
  <si>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</si>
  <si>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</si>
  <si>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</si>
  <si>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</si>
  <si>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</si>
  <si>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</si>
  <si>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</si>
  <si>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</si>
  <si>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</si>
  <si>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</si>
  <si>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</si>
  <si>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</si>
  <si>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</si>
  <si>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</si>
  <si>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</si>
  <si>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</si>
  <si>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</si>
  <si>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</si>
  <si>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</si>
  <si>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</si>
  <si>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</si>
  <si>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</si>
  <si>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</si>
  <si>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</si>
  <si>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</si>
  <si>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</si>
  <si>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</si>
  <si>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</si>
  <si>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</si>
  <si>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</si>
  <si>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</si>
  <si>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</si>
  <si>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</si>
  <si>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</si>
  <si>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</si>
  <si>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</si>
  <si>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</si>
  <si>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</si>
  <si>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</si>
  <si>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</si>
  <si>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</si>
  <si>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</si>
  <si>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</si>
  <si>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</si>
  <si>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</si>
  <si>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</si>
  <si>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</si>
  <si>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</si>
  <si>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</si>
  <si>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</si>
  <si>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</si>
  <si>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</si>
  <si>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</si>
  <si>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</si>
  <si>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</si>
  <si>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</si>
  <si>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</si>
  <si>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</si>
  <si>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</si>
  <si>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</si>
  <si>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</si>
  <si>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</si>
  <si>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</si>
  <si>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</si>
  <si>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</si>
  <si>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</si>
  <si>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</si>
  <si>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</si>
  <si>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</si>
  <si>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</si>
  <si>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</si>
  <si>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</si>
  <si>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</si>
  <si>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</si>
  <si>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</si>
  <si>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</si>
  <si>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</si>
  <si>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</si>
  <si>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</si>
  <si>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</si>
  <si>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</si>
  <si>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</si>
  <si>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</si>
  <si>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</si>
  <si>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</si>
  <si>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</si>
  <si>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</si>
  <si>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</si>
  <si>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</si>
  <si>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</si>
  <si>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</si>
  <si>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</si>
  <si>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</si>
  <si>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</si>
  <si>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</si>
  <si>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</si>
  <si>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</si>
  <si>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</si>
  <si>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</si>
  <si>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</si>
  <si>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</si>
  <si>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</si>
  <si>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</si>
  <si>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</si>
  <si>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</si>
  <si>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</si>
  <si>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</si>
  <si>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</si>
  <si>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</si>
  <si>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</si>
  <si>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</si>
  <si>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</si>
  <si>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</si>
  <si>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</si>
  <si>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</si>
  <si>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</si>
  <si>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</si>
  <si>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</si>
  <si>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</si>
  <si>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</si>
  <si>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</si>
  <si>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</si>
  <si>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</si>
  <si>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</si>
  <si>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</si>
  <si>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</si>
  <si>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</si>
  <si>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</si>
  <si>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</si>
  <si>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</si>
  <si>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</si>
  <si>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</si>
  <si>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</si>
  <si>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</si>
  <si>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</si>
  <si>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</si>
  <si>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</si>
  <si>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</si>
  <si>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</si>
  <si>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</si>
  <si>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</si>
  <si>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</si>
  <si>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</si>
  <si>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</si>
  <si>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</si>
  <si>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</si>
  <si>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</si>
  <si>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</si>
  <si>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</si>
  <si>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</si>
  <si>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</si>
  <si>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</si>
  <si>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</si>
  <si>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</si>
  <si>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</si>
  <si>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</si>
  <si>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</si>
  <si>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</si>
  <si>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</si>
  <si>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</si>
  <si>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</si>
  <si>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</si>
  <si>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</si>
  <si>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</si>
  <si>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</si>
  <si>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</si>
  <si>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</si>
  <si>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</si>
  <si>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</si>
  <si>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</si>
  <si>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</si>
  <si>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</si>
  <si>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</si>
  <si>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</si>
  <si>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</si>
  <si>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</si>
  <si>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</si>
  <si>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</si>
  <si>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</si>
  <si>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</si>
  <si>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</si>
  <si>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</si>
  <si>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</si>
  <si>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</si>
  <si>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</si>
  <si>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</si>
  <si>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</si>
  <si>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</si>
  <si>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</si>
  <si>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</si>
  <si>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</si>
  <si>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</si>
  <si>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</si>
  <si>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</si>
  <si>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</si>
  <si>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</si>
  <si>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</si>
  <si>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</si>
  <si>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</si>
  <si>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</si>
  <si>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</si>
  <si>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</si>
  <si>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</si>
  <si>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</si>
  <si>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</si>
  <si>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</si>
  <si>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</si>
  <si>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</si>
  <si>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</si>
  <si>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</si>
  <si>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</si>
  <si>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</si>
  <si>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</si>
  <si>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</si>
  <si>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</si>
  <si>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</si>
  <si>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</si>
  <si>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</si>
  <si>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</si>
  <si>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</si>
  <si>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</si>
  <si>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</si>
  <si>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</si>
  <si>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</si>
  <si>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</si>
  <si>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</si>
  <si>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</si>
  <si>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</si>
  <si>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</si>
  <si>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</si>
  <si>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</si>
  <si>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</si>
  <si>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</si>
  <si>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</si>
  <si>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</si>
  <si>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</si>
  <si>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</si>
  <si>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</si>
  <si>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</si>
  <si>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</si>
  <si>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</si>
  <si>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</si>
  <si>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</si>
  <si>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</si>
  <si>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</si>
  <si>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</si>
  <si>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</si>
  <si>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</si>
  <si>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</si>
  <si>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</si>
  <si>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</si>
  <si>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</si>
  <si>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</si>
  <si>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</si>
  <si>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</si>
  <si>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</si>
  <si>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</si>
  <si>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</si>
  <si>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</si>
  <si>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</si>
  <si>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</si>
  <si>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</si>
  <si>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</si>
  <si>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</si>
  <si>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</si>
  <si>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</si>
  <si>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</si>
  <si>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</si>
  <si>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</si>
  <si>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</si>
  <si>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</si>
  <si>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</si>
  <si>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</si>
  <si>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</si>
  <si>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</si>
  <si>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</si>
  <si>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</si>
  <si>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</si>
  <si>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</si>
  <si>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</si>
  <si>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</si>
  <si>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</si>
  <si>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</si>
  <si>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</si>
  <si>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</si>
  <si>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</si>
  <si>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</si>
  <si>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</si>
  <si>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</si>
  <si>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</si>
  <si>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</si>
  <si>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</si>
  <si>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</si>
  <si>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</si>
  <si>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</si>
  <si>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</si>
  <si>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</si>
  <si>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</si>
  <si>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</si>
  <si>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</si>
  <si>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</si>
  <si>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</si>
  <si>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</si>
  <si>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</si>
  <si>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</si>
  <si>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</si>
  <si>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</si>
  <si>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</si>
  <si>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</si>
  <si>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</si>
  <si>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</si>
  <si>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</si>
  <si>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</si>
  <si>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</si>
  <si>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</si>
  <si>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</si>
  <si>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</si>
  <si>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</si>
  <si>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</si>
  <si>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</si>
  <si>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</si>
  <si>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</si>
  <si>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</si>
  <si>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</si>
  <si>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</si>
  <si>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</si>
  <si>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</si>
  <si>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</si>
  <si>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</si>
  <si>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</si>
  <si>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</si>
  <si>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</si>
  <si>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</si>
  <si>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</si>
  <si>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</si>
  <si>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</si>
  <si>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</si>
  <si>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</si>
  <si>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</si>
  <si>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</si>
  <si>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</si>
  <si>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</si>
  <si>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</si>
  <si>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</si>
  <si>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</si>
  <si>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</si>
  <si>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</si>
  <si>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</si>
  <si>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</si>
  <si>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</si>
  <si>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</si>
  <si>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</si>
  <si>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</si>
  <si>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</si>
  <si>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</si>
  <si>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</si>
  <si>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</si>
  <si>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</si>
  <si>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</si>
  <si>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</si>
  <si>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</si>
  <si>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</si>
  <si>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</si>
  <si>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</si>
  <si>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</si>
  <si>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</si>
  <si>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</si>
  <si>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</si>
  <si>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</si>
  <si>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</si>
  <si>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</si>
  <si>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</si>
  <si>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</si>
  <si>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</si>
  <si>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</si>
  <si>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</si>
  <si>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</si>
  <si>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</si>
  <si>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</si>
  <si>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</si>
  <si>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</si>
  <si>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</si>
  <si>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</si>
  <si>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</si>
  <si>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</si>
  <si>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</si>
  <si>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</si>
  <si>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</si>
  <si>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</si>
  <si>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</si>
  <si>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</si>
  <si>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</si>
  <si>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</si>
  <si>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</si>
  <si>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</si>
  <si>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</si>
  <si>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</si>
  <si>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</si>
  <si>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</si>
  <si>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</si>
  <si>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</si>
  <si>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</si>
  <si>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</si>
  <si>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</si>
  <si>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</si>
  <si>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</si>
  <si>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</si>
  <si>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</si>
  <si>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</si>
  <si>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</si>
  <si>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</si>
  <si>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</si>
  <si>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</si>
  <si>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</si>
  <si>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</si>
  <si>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</si>
  <si>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</si>
  <si>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</si>
  <si>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</si>
  <si>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</si>
  <si>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</si>
  <si>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</si>
  <si>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</si>
  <si>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</si>
  <si>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</si>
  <si>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</si>
  <si>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</si>
  <si>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</si>
  <si>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</si>
  <si>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</si>
  <si>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</si>
  <si>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</si>
  <si>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</si>
  <si>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</si>
  <si>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</si>
  <si>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</si>
  <si>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</si>
  <si>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</si>
  <si>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</si>
  <si>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</si>
  <si>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</si>
  <si>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</si>
  <si>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</si>
  <si>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</si>
  <si>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</si>
  <si>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</si>
  <si>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</si>
  <si>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</si>
  <si>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</si>
  <si>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</si>
  <si>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</si>
  <si>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</si>
  <si>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</si>
  <si>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</si>
  <si>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</si>
  <si>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</si>
  <si>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</si>
  <si>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</si>
  <si>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</si>
  <si>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</si>
  <si>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</si>
  <si>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</si>
  <si>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</si>
  <si>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</si>
  <si>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</si>
  <si>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</si>
  <si>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</si>
  <si>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</si>
  <si>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</si>
  <si>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</si>
  <si>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</si>
  <si>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</si>
  <si>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</si>
  <si>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</si>
  <si>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</si>
  <si>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</si>
  <si>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</si>
  <si>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</si>
  <si>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</si>
  <si>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</si>
  <si>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</si>
  <si>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</si>
  <si>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</si>
  <si>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</si>
  <si>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</si>
  <si>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</si>
  <si>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</si>
  <si>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</si>
  <si>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</si>
  <si>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</si>
  <si>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</si>
  <si>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</si>
  <si>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</si>
  <si>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</si>
  <si>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</si>
  <si>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</si>
  <si>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</si>
  <si>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</si>
  <si>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</si>
  <si>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</si>
  <si>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</si>
  <si>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</si>
  <si>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</si>
  <si>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</si>
  <si>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</si>
  <si>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</si>
  <si>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</si>
  <si>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</si>
  <si>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</si>
  <si>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</si>
  <si>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</si>
  <si>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</si>
  <si>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</si>
  <si>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</si>
  <si>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</si>
  <si>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</si>
  <si>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</si>
  <si>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</si>
  <si>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</si>
  <si>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</si>
  <si>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</si>
  <si>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</si>
  <si>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</si>
  <si>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</si>
  <si>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</si>
  <si>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</si>
  <si>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</si>
  <si>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</si>
  <si>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</si>
  <si>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</si>
  <si>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</si>
  <si>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</si>
  <si>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</si>
  <si>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</si>
  <si>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</si>
  <si>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</si>
  <si>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</si>
  <si>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</si>
  <si>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</si>
  <si>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</si>
  <si>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</si>
  <si>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</si>
  <si>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</si>
  <si>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</si>
  <si>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</si>
  <si>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</si>
  <si>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</si>
  <si>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</si>
  <si>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</si>
  <si>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</si>
  <si>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</si>
  <si>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</si>
  <si>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</si>
  <si>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</si>
  <si>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</si>
  <si>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</si>
  <si>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</si>
  <si>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</si>
  <si>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</si>
  <si>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</si>
  <si>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</si>
  <si>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</si>
  <si>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</si>
  <si>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</si>
  <si>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</si>
  <si>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</si>
  <si>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</si>
  <si>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</si>
  <si>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</si>
  <si>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</si>
  <si>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</si>
  <si>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</si>
  <si>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</si>
  <si>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</si>
  <si>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</si>
  <si>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</si>
  <si>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</si>
  <si>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</si>
  <si>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</si>
  <si>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</si>
  <si>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</si>
  <si>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</si>
  <si>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</si>
  <si>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</si>
  <si>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</si>
  <si>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</si>
  <si>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</si>
  <si>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</si>
  <si>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</si>
  <si>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</si>
  <si>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</si>
  <si>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</si>
  <si>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</si>
  <si>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</si>
  <si>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</si>
  <si>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</si>
  <si>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</si>
  <si>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</si>
  <si>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</si>
  <si>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</si>
  <si>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</si>
  <si>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</si>
  <si>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</si>
  <si>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</si>
  <si>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</si>
  <si>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</si>
  <si>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</si>
  <si>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</si>
  <si>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</si>
  <si>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</si>
  <si>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</si>
  <si>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</si>
  <si>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</si>
  <si>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</si>
  <si>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</si>
  <si>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</si>
  <si>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</si>
  <si>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</si>
  <si>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</si>
  <si>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</si>
  <si>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</si>
  <si>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</si>
  <si>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</si>
  <si>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</si>
  <si>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</si>
  <si>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</si>
  <si>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</si>
  <si>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</si>
  <si>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</si>
  <si>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</si>
  <si>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</si>
  <si>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</si>
  <si>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</si>
  <si>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</si>
  <si>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</si>
  <si>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</si>
  <si>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</si>
  <si>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</si>
  <si>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</si>
  <si>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</si>
  <si>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</si>
  <si>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</si>
  <si>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</si>
  <si>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</si>
  <si>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</si>
  <si>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</si>
  <si>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</si>
  <si>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</si>
  <si>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</si>
  <si>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</si>
  <si>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</si>
  <si>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</si>
  <si>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</si>
  <si>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</si>
  <si>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</si>
  <si>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</si>
  <si>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</si>
  <si>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</si>
  <si>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</si>
  <si>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</si>
  <si>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</si>
  <si>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</si>
  <si>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</si>
  <si>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</si>
  <si>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</si>
  <si>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</si>
  <si>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</si>
  <si>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</si>
  <si>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</si>
  <si>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</si>
  <si>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</si>
  <si>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</si>
  <si>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</si>
  <si>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</si>
  <si>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</si>
  <si>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</si>
  <si>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</si>
  <si>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</si>
  <si>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</si>
  <si>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</si>
  <si>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</si>
  <si>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</si>
  <si>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</si>
  <si>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</si>
  <si>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</si>
  <si>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</si>
  <si>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</si>
  <si>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</si>
  <si>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</si>
  <si>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</si>
  <si>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</si>
  <si>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</si>
  <si>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</si>
  <si>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</si>
  <si>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</si>
  <si>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</si>
  <si>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</si>
  <si>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</si>
  <si>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</si>
  <si>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</si>
  <si>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</si>
  <si>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</si>
  <si>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</si>
  <si>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</si>
  <si>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</si>
  <si>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</si>
  <si>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</si>
  <si>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</si>
  <si>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</si>
  <si>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</si>
  <si>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</si>
  <si>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</si>
  <si>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</si>
  <si>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</si>
  <si>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</si>
  <si>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</si>
  <si>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</si>
  <si>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</si>
  <si>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</si>
  <si>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</si>
  <si>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</si>
  <si>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</si>
  <si>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</si>
  <si>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</si>
  <si>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</si>
  <si>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</si>
  <si>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</si>
  <si>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</si>
  <si>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</si>
  <si>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</si>
  <si>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</si>
  <si>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</si>
  <si>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</si>
  <si>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</si>
  <si>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</si>
  <si>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</si>
  <si>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</si>
  <si>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</si>
  <si>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</si>
  <si>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</si>
  <si>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</si>
  <si>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</si>
  <si>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</si>
  <si>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</si>
  <si>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</si>
  <si>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</si>
  <si>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</si>
  <si>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</si>
  <si>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</si>
  <si>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</si>
  <si>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</si>
  <si>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</si>
  <si>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</si>
  <si>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</si>
  <si>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</si>
  <si>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</si>
  <si>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</si>
  <si>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</si>
  <si>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</si>
  <si>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</si>
  <si>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</si>
  <si>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</si>
  <si>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</si>
  <si>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</si>
  <si>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</si>
  <si>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</si>
  <si>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</si>
  <si>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</si>
  <si>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</si>
  <si>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</si>
  <si>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</si>
  <si>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</si>
  <si>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</si>
  <si>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</si>
  <si>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</si>
  <si>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</si>
  <si>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</si>
  <si>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</si>
  <si>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</si>
  <si>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</si>
  <si>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</si>
  <si>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</si>
  <si>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</si>
  <si>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</si>
  <si>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</si>
  <si>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</si>
  <si>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</si>
  <si>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</si>
  <si>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</si>
  <si>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</si>
  <si>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</si>
  <si>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</si>
  <si>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</si>
  <si>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</si>
  <si>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</si>
  <si>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</si>
  <si>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</si>
  <si>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</si>
  <si>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</si>
  <si>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</si>
  <si>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</si>
  <si>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</si>
  <si>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</si>
  <si>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</si>
  <si>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</si>
  <si>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</si>
  <si>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</si>
  <si>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</si>
  <si>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</si>
  <si>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</si>
  <si>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</si>
  <si>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</si>
  <si>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</si>
  <si>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</si>
  <si>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</si>
  <si>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</si>
  <si>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</si>
  <si>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</si>
  <si>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</si>
  <si>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</si>
  <si>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</si>
  <si>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</si>
  <si>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</si>
  <si>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</si>
  <si>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</si>
  <si>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</si>
  <si>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</si>
  <si>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</si>
  <si>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</si>
  <si>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</si>
  <si>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</si>
  <si>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</si>
  <si>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</si>
  <si>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</si>
  <si>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</si>
  <si>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</si>
  <si>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</si>
  <si>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</si>
  <si>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</si>
  <si>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</si>
  <si>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</si>
  <si>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</si>
  <si>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</si>
  <si>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</si>
  <si>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</si>
  <si>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</si>
  <si>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</si>
  <si>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</si>
  <si>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</si>
  <si>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</si>
  <si>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</si>
  <si>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</si>
  <si>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</si>
  <si>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</si>
  <si>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</si>
  <si>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</si>
  <si>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</si>
  <si>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</si>
  <si>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</si>
  <si>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</si>
  <si>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</si>
  <si>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</si>
  <si>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</si>
  <si>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</si>
  <si>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</si>
  <si>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</si>
  <si>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</si>
  <si>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</si>
  <si>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</si>
  <si>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</si>
  <si>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</si>
  <si>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</si>
  <si>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</si>
  <si>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</si>
  <si>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</si>
  <si>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</si>
  <si>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</si>
  <si>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</si>
  <si>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</si>
  <si>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</si>
  <si>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</si>
  <si>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</si>
  <si>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</si>
  <si>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</si>
  <si>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</si>
  <si>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</si>
  <si>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</si>
  <si>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</si>
  <si>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</si>
  <si>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</si>
  <si>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</si>
  <si>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</si>
  <si>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</si>
  <si>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</si>
  <si>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</si>
  <si>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</si>
  <si>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</si>
  <si>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</si>
  <si>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</si>
  <si>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</si>
  <si>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</si>
  <si>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</si>
  <si>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</si>
  <si>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</si>
  <si>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</si>
  <si>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</si>
  <si>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</si>
  <si>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</si>
  <si>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</si>
  <si>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</si>
  <si>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</si>
  <si>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</si>
  <si>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</si>
  <si>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</si>
  <si>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</si>
  <si>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</si>
  <si>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</si>
  <si>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</si>
  <si>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</si>
  <si>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</si>
  <si>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</si>
  <si>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</si>
  <si>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</si>
  <si>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</si>
  <si>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</si>
  <si>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</si>
  <si>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</si>
  <si>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</si>
  <si>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</si>
  <si>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</si>
  <si>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</si>
  <si>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</si>
  <si>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</si>
  <si>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</si>
  <si>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</si>
  <si>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</si>
  <si>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</si>
  <si>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</si>
  <si>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</si>
  <si>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</si>
  <si>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</si>
  <si>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</si>
  <si>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</si>
  <si>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</si>
  <si>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</si>
  <si>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</si>
  <si>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</si>
  <si>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</si>
  <si>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</si>
  <si>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</si>
  <si>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</si>
  <si>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</si>
  <si>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</si>
  <si>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</si>
  <si>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</si>
  <si>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</si>
  <si>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</si>
  <si>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</si>
  <si>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</si>
  <si>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</si>
  <si>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</si>
  <si>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</si>
  <si>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</si>
  <si>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</si>
  <si>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</si>
  <si>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</si>
  <si>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</si>
  <si>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</si>
  <si>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</si>
  <si>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</si>
  <si>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</si>
  <si>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</si>
  <si>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</si>
  <si>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</si>
  <si>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</si>
  <si>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</si>
  <si>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</si>
  <si>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</si>
  <si>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</si>
  <si>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</si>
  <si>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</si>
  <si>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</si>
  <si>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</si>
  <si>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</si>
  <si>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</si>
  <si>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</si>
  <si>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</si>
  <si>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</si>
  <si>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</si>
  <si>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</si>
  <si>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</si>
  <si>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</si>
  <si>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</si>
  <si>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</si>
  <si>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</si>
  <si>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</si>
  <si>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</si>
  <si>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</si>
  <si>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</si>
  <si>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</si>
  <si>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</si>
  <si>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</si>
  <si>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</si>
  <si>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</si>
  <si>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</si>
  <si>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</si>
  <si>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</si>
  <si>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</si>
  <si>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</si>
  <si>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</si>
  <si>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</si>
  <si>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</si>
  <si>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</si>
  <si>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</si>
  <si>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</si>
  <si>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</si>
  <si>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</si>
  <si>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</si>
  <si>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</si>
  <si>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</si>
  <si>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</si>
  <si>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</si>
  <si>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</si>
  <si>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</si>
  <si>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</si>
  <si>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</si>
  <si>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</si>
  <si>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</si>
  <si>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</si>
  <si>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</si>
  <si>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</si>
  <si>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</si>
  <si>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</si>
  <si>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</si>
  <si>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</si>
  <si>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</si>
  <si>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</si>
  <si>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</si>
  <si>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</si>
  <si>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</si>
  <si>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</si>
  <si>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</si>
  <si>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</si>
  <si>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</si>
  <si>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</si>
  <si>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</si>
  <si>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</si>
  <si>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</si>
  <si>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</si>
  <si>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</si>
  <si>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</si>
  <si>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</si>
  <si>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</si>
  <si>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</si>
  <si>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</si>
  <si>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</si>
  <si>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</si>
  <si>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</si>
  <si>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</si>
  <si>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</si>
  <si>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</si>
  <si>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</si>
  <si>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</si>
  <si>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</si>
  <si>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</si>
  <si>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</si>
  <si>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</si>
  <si>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</si>
  <si>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</si>
  <si>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</si>
  <si>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</si>
  <si>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</si>
  <si>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</si>
  <si>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</si>
  <si>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</si>
  <si>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</si>
  <si>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</si>
  <si>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</si>
  <si>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</si>
  <si>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</si>
  <si>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</si>
  <si>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</si>
  <si>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</si>
  <si>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</si>
  <si>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</si>
  <si>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</si>
  <si>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</si>
  <si>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</si>
  <si>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</si>
  <si>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</si>
  <si>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</si>
  <si>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</si>
  <si>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</si>
  <si>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</si>
  <si>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</si>
  <si>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</si>
  <si>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</si>
  <si>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</si>
  <si>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</si>
  <si>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</si>
  <si>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</si>
  <si>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</si>
  <si>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</si>
  <si>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</si>
  <si>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</si>
  <si>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</si>
  <si>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</si>
  <si>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</si>
  <si>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</si>
  <si>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</si>
  <si>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</si>
  <si>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</si>
  <si>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</si>
  <si>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</si>
  <si>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</si>
  <si>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</si>
  <si>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</si>
  <si>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</si>
  <si>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</si>
  <si>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</si>
  <si>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</si>
  <si>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</si>
  <si>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</si>
  <si>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</si>
  <si>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</si>
  <si>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</si>
  <si>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</si>
  <si>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</si>
  <si>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</si>
  <si>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</si>
  <si>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</si>
  <si>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</si>
  <si>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</si>
  <si>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</si>
  <si>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</si>
  <si>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</si>
  <si>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</si>
  <si>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</si>
  <si>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</si>
  <si>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</si>
  <si>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</si>
  <si>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</si>
  <si>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</si>
  <si>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</si>
  <si>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</si>
  <si>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</si>
  <si>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</si>
  <si>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</si>
  <si>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</si>
  <si>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</si>
  <si>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</si>
  <si>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</si>
  <si>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</si>
  <si>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</si>
  <si>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</si>
  <si>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</si>
  <si>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</si>
  <si>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</si>
  <si>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</si>
  <si>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</si>
  <si>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</si>
  <si>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</si>
  <si>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</si>
  <si>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</si>
  <si>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</si>
  <si>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</si>
  <si>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</si>
  <si>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</si>
  <si>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</si>
  <si>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</si>
  <si>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</si>
  <si>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</si>
  <si>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</si>
  <si>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</si>
  <si>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</si>
  <si>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</si>
  <si>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</si>
  <si>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</si>
  <si>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</si>
  <si>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</si>
  <si>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</si>
  <si>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</si>
  <si>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</si>
  <si>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</si>
  <si>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</si>
  <si>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</si>
  <si>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</si>
  <si>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</si>
  <si>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</si>
  <si>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</si>
  <si>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</si>
  <si>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</si>
  <si>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</si>
  <si>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</si>
  <si>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</si>
  <si>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</si>
  <si>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</si>
  <si>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</si>
  <si>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</si>
  <si>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</si>
  <si>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</si>
  <si>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</si>
  <si>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</si>
  <si>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</si>
  <si>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</si>
  <si>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</si>
  <si>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</si>
  <si>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</si>
  <si>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</si>
  <si>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</si>
  <si>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</si>
  <si>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</si>
  <si>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</si>
  <si>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</si>
  <si>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</si>
  <si>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</si>
  <si>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</si>
  <si>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</si>
  <si>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</si>
  <si>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</si>
  <si>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</si>
  <si>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</si>
  <si>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</si>
  <si>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</si>
  <si>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</si>
  <si>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</si>
  <si>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</si>
  <si>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</si>
  <si>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</si>
  <si>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</si>
  <si>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</si>
  <si>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</si>
  <si>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</si>
  <si>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</si>
  <si>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</si>
  <si>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</si>
  <si>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</si>
  <si>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MACOUPIN</t>
  </si>
  <si>
    <t>801 N DENEEN ST</t>
  </si>
  <si>
    <t>STAUNTON</t>
  </si>
  <si>
    <t>LOY MILLER TALLEY, PC</t>
  </si>
  <si>
    <t>KENNETH E. LOY, CPA</t>
  </si>
  <si>
    <t>#2 CROSSROADS CT</t>
  </si>
  <si>
    <t>ALTON</t>
  </si>
  <si>
    <t>IL</t>
  </si>
  <si>
    <t>618-465-1196</t>
  </si>
  <si>
    <t>618-465-2900</t>
  </si>
  <si>
    <t>060-003363</t>
  </si>
  <si>
    <t>KEN@LMTCPAS.COM</t>
  </si>
  <si>
    <t>DAN COX</t>
  </si>
  <si>
    <t>DCOX@STAUNTONSCHOOLS.ORG</t>
  </si>
  <si>
    <t>618-635-2962</t>
  </si>
  <si>
    <t>618-635-2994</t>
  </si>
  <si>
    <t>MICHELLE MUELLER</t>
  </si>
  <si>
    <t>MMUELLER@ROE40.COM</t>
  </si>
  <si>
    <t>217-854-4016</t>
  </si>
  <si>
    <t>217-854-2032</t>
  </si>
  <si>
    <t>10-3999 OTHER REVENUES $4,553</t>
  </si>
  <si>
    <t>2016 BOND ISSUE</t>
  </si>
  <si>
    <t>2017 ALT REVENUE BONDS</t>
  </si>
  <si>
    <t>10-1999 OTHER REVENUES $20,647, 20-1999 OTHER REVENUES $151, 40-1999 OTHER REVENUES $192.</t>
  </si>
  <si>
    <t>20-3099 OTHER REVENUES $194,695, REIMBURSEMENT AR GRAIFF DEMO</t>
  </si>
  <si>
    <t>30-5400-600 $1100 BOND SERVICE FEES</t>
  </si>
  <si>
    <t>TOTAL ESTIMATED TAXES TO BE COLLECTED IN 2020 IS A LEVY FOR PRIOR YEAR ADJUSTMENTS</t>
  </si>
  <si>
    <t>10-2190-600 $1032 MISC. REIMBURSEMENTS</t>
  </si>
  <si>
    <t>10-2900-400 $373 MISC. SUPPLIES</t>
  </si>
  <si>
    <t>US DEPARTMENT OF AGRICULTURE:</t>
  </si>
  <si>
    <t>PASS-THROUGH FROM IL STATE BOARD OF EDUCATION</t>
  </si>
  <si>
    <t xml:space="preserve"> (M) NATIONAL SCHOOL LUNCH PROGRAM</t>
  </si>
  <si>
    <t xml:space="preserve"> NATIONAL SCHOOL LUNCH PROGRAM</t>
  </si>
  <si>
    <t>(M)   SCHOOL BREAKFAST PROGRAM</t>
  </si>
  <si>
    <t>SCHOOL BREAKFAST PROGRAM</t>
  </si>
  <si>
    <t>COMMODITIES (NON-CASH)</t>
  </si>
  <si>
    <t>DEPARTMENT OF DEFENSE  FRESH FRUITS &amp; VEGETABLES</t>
  </si>
  <si>
    <t xml:space="preserve">  TOTAL US DEPARTMENT OF AGRICULTURE</t>
  </si>
  <si>
    <t>19-4210-00</t>
  </si>
  <si>
    <t>18-4210-00</t>
  </si>
  <si>
    <t>19-4220-00</t>
  </si>
  <si>
    <t>18-4220-00</t>
  </si>
  <si>
    <t>19-4250-00</t>
  </si>
  <si>
    <t>N/A</t>
  </si>
  <si>
    <t>TOTAL CHILD NUTRITION CLUSTER</t>
  </si>
  <si>
    <t>US DEPARTMENT OF EDUCATION:</t>
  </si>
  <si>
    <t>PASS-THROUGH PROGRAMS FROM IL STATE BOARD OF EDUCATION:</t>
  </si>
  <si>
    <t>TITLE I - LOW INCOME</t>
  </si>
  <si>
    <t xml:space="preserve"> TITLE I - LOW INCOME</t>
  </si>
  <si>
    <t>TITLE II - TEACHER QUALITY</t>
  </si>
  <si>
    <t>TOTAL PASS-THROUGH FROM US DEPARTMENT OF EDUCATION</t>
  </si>
  <si>
    <t>TITLE IVA STUDENT SUPPORT &amp; ACADEMIC ENRICHMENT</t>
  </si>
  <si>
    <t>19-4400-00</t>
  </si>
  <si>
    <t>18-4300-00</t>
  </si>
  <si>
    <t>19-4300-00</t>
  </si>
  <si>
    <t>19-4932-00</t>
  </si>
  <si>
    <t>18-4932-00</t>
  </si>
  <si>
    <t>US DEPARTMENT OF HEALTH &amp; HUMAN SERVICES:</t>
  </si>
  <si>
    <t>PASS-THROUGH ILLINOIS DEPARTMENT OF HEALTHCARE &amp; FAMILY SERVICES</t>
  </si>
  <si>
    <t>MEDICAID ADMINISTRATIVE OUTREACH</t>
  </si>
  <si>
    <t>TOTAL US DEPARTMENT OF HEALT H &amp; HUMAN SERVICES</t>
  </si>
  <si>
    <t>19-4991-00</t>
  </si>
  <si>
    <t>OTHER PASS-THROUGH ENTITIES -</t>
  </si>
  <si>
    <t>PASS-TRHOUGH FROM SPECIAL EDUCATION REGION 3:</t>
  </si>
  <si>
    <t>(M) IDEA FLOW-THROUGH FED</t>
  </si>
  <si>
    <t xml:space="preserve"> (M) IDEA PRESCHOOL</t>
  </si>
  <si>
    <t>TOTAL PASS THROUGH SPECIAL EDUCATION</t>
  </si>
  <si>
    <t>PASS-THROUGH PROGRAMS FROM MAC. COUNTY REGIONAL VOCATION ED. COOP.</t>
  </si>
  <si>
    <t>PERKINS TITLE IIC</t>
  </si>
  <si>
    <t>84-048</t>
  </si>
  <si>
    <t>TOTAL PASS-THROUGH MACOUPIN COUNTY</t>
  </si>
  <si>
    <t>TOTAL OTHER PASS-THROUGH ENTITIES</t>
  </si>
  <si>
    <t>19-4620-00</t>
  </si>
  <si>
    <t>19-4600-00</t>
  </si>
  <si>
    <t>TOTAL FEDERAL FUNDS:</t>
  </si>
  <si>
    <t>PASS-THROUGH IL STATE BOARD OF EDUCATION</t>
  </si>
  <si>
    <t xml:space="preserve"> PASS-THROUGH DEPARTMENT OF HEALTHCARE &amp; FAMILY SERVICES</t>
  </si>
  <si>
    <t>PASS-THROUGH OTHER ENTITIES</t>
  </si>
  <si>
    <t>TOTAL FEDERAL AWARDS</t>
  </si>
  <si>
    <t>19-4745-00</t>
  </si>
  <si>
    <t>TITLE I - SCHOOL IMPROVEMENT &amp; ACCOUNTABILITY</t>
  </si>
  <si>
    <t>19-4331-00</t>
  </si>
  <si>
    <r>
      <t xml:space="preserve">The accompanying Schedule of Expenditures of Federal Awards includes the federal grant activity of </t>
    </r>
    <r>
      <rPr>
        <b/>
        <sz val="9"/>
        <rFont val="Calibri"/>
        <family val="2"/>
        <scheme val="minor"/>
      </rPr>
      <t>Staunton Community School District #6</t>
    </r>
    <r>
      <rPr>
        <sz val="9"/>
        <rFont val="Calibri"/>
        <family val="2"/>
        <scheme val="minor"/>
      </rPr>
      <t xml:space="preserve"> and is presented on the </t>
    </r>
    <r>
      <rPr>
        <b/>
        <sz val="9"/>
        <rFont val="Calibri"/>
        <family val="2"/>
        <scheme val="minor"/>
      </rPr>
      <t>Cash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</si>
  <si>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 FEDERAL AWARDS WERE PROVIDED TO SUBRECIPIENTS</t>
  </si>
  <si>
    <r>
      <t xml:space="preserve">Of the federal expenditures presented in the schedule, </t>
    </r>
    <r>
      <rPr>
        <b/>
        <sz val="9"/>
        <rFont val="Calibri"/>
        <family val="2"/>
        <scheme val="minor"/>
      </rPr>
      <t>Staunton Community School District #6</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</si>
  <si>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Staunton Community School District #6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</si>
  <si>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t>
  </si>
  <si>
    <t>UNMODIFIED</t>
  </si>
  <si>
    <t>NATIONAL SCHOOL LUNCH PROGRAM</t>
  </si>
  <si>
    <t>IDEA FLOW-THROUGH FED</t>
  </si>
  <si>
    <t>IDEA PRESCHOOL</t>
  </si>
  <si>
    <t>NO FINDINGS FOR FISCAL YEAR ENDED JUNE 30, 2019</t>
  </si>
  <si>
    <t>NONE</t>
  </si>
  <si>
    <t>STAUNTON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</si>
</sst>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337705</xdr:colOff>
          <xdr:row>3</xdr:row>
          <xdr:rowOff>43296</xdr:rowOff>
        </xdr:from>
        <xdr:to>
          <xdr:col>1</xdr:col>
          <xdr:colOff>1249507</xdr:colOff>
          <xdr:row>7</xdr:row>
          <xdr:rowOff>81396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C0000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2" t="s">
        <v>405</v>
      </c>
      <c r="J1" s="1983"/>
      <c r="K1" s="1983"/>
      <c r="L1" s="1983"/>
      <c r="M1" s="1983"/>
      <c r="N1" s="1983"/>
      <c r="O1" s="1983"/>
      <c r="P1" s="1983"/>
      <c r="Q1" s="1983"/>
      <c r="R1" s="1983"/>
      <c r="S1" s="1983"/>
    </row>
    <row r="2" spans="1:28" ht="12" customHeight="1" x14ac:dyDescent="0.2">
      <c r="A2" s="47" t="s">
        <v>1990</v>
      </c>
      <c r="D2" s="48"/>
      <c r="I2" s="1984" t="s">
        <v>979</v>
      </c>
      <c r="J2" s="1983"/>
      <c r="K2" s="1983"/>
      <c r="L2" s="1983"/>
      <c r="M2" s="1983"/>
      <c r="N2" s="1983"/>
      <c r="O2" s="1983"/>
      <c r="P2" s="1983"/>
      <c r="Q2" s="1983"/>
      <c r="R2" s="1983"/>
      <c r="S2" s="1983"/>
    </row>
    <row r="3" spans="1:28" ht="12" customHeight="1" x14ac:dyDescent="0.2">
      <c r="A3" s="155" t="s">
        <v>1942</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2061</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2061</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40056006026</v>
      </c>
      <c r="B13" s="2018"/>
      <c r="C13" s="2018"/>
      <c r="D13" s="2018"/>
      <c r="E13" s="2018"/>
      <c r="F13" s="2018"/>
      <c r="G13" s="2018"/>
      <c r="H13" s="2019"/>
      <c r="I13" s="31"/>
      <c r="J13" s="30"/>
      <c r="K13" s="28"/>
      <c r="L13" s="30"/>
      <c r="M13" s="30"/>
      <c r="N13" s="30"/>
      <c r="O13" s="30"/>
      <c r="P13" s="30"/>
      <c r="Q13" s="30"/>
      <c r="R13" s="30"/>
      <c r="S13" s="30"/>
      <c r="T13" s="2022" t="s">
        <v>2065</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2062</v>
      </c>
      <c r="B15" s="2020"/>
      <c r="C15" s="2020"/>
      <c r="D15" s="2020"/>
      <c r="E15" s="2020"/>
      <c r="F15" s="2020"/>
      <c r="G15" s="2020"/>
      <c r="H15" s="2021"/>
      <c r="T15" s="2026" t="s">
        <v>2066</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2155</v>
      </c>
      <c r="B17" s="1977"/>
      <c r="C17" s="1977"/>
      <c r="D17" s="1977"/>
      <c r="E17" s="1977"/>
      <c r="F17" s="1977"/>
      <c r="G17" s="1977"/>
      <c r="H17" s="2002"/>
      <c r="T17" s="2033" t="s">
        <v>2067</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2063</v>
      </c>
      <c r="B19" s="1962"/>
      <c r="C19" s="1962"/>
      <c r="D19" s="1962"/>
      <c r="E19" s="1962"/>
      <c r="F19" s="1962"/>
      <c r="G19" s="1962"/>
      <c r="H19" s="1942"/>
      <c r="I19" s="30"/>
      <c r="J19" s="99"/>
      <c r="K19" s="40"/>
      <c r="L19" s="38"/>
      <c r="M19" s="112" t="s">
        <v>315</v>
      </c>
      <c r="P19" s="27"/>
      <c r="Q19" s="27"/>
      <c r="R19" s="27"/>
      <c r="S19" s="31"/>
      <c r="T19" s="2016" t="s">
        <v>2068</v>
      </c>
      <c r="U19" s="1941"/>
      <c r="V19" s="1941"/>
      <c r="W19" s="1942"/>
      <c r="X19" s="2031" t="s">
        <v>2069</v>
      </c>
      <c r="Y19" s="2032"/>
      <c r="Z19" s="2029">
        <v>62002</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2064</v>
      </c>
      <c r="B21" s="1941"/>
      <c r="C21" s="1941"/>
      <c r="D21" s="1941"/>
      <c r="E21" s="1941"/>
      <c r="F21" s="1941"/>
      <c r="G21" s="1941"/>
      <c r="H21" s="1942"/>
      <c r="I21" s="1996" t="s">
        <v>678</v>
      </c>
      <c r="J21" s="1991"/>
      <c r="K21" s="1991"/>
      <c r="L21" s="1991"/>
      <c r="M21" s="1991"/>
      <c r="N21" s="1991"/>
      <c r="O21" s="1991"/>
      <c r="P21" s="1991"/>
      <c r="Q21" s="1991"/>
      <c r="R21" s="1991"/>
      <c r="S21" s="1997"/>
      <c r="T21" s="2040" t="s">
        <v>2070</v>
      </c>
      <c r="U21" s="2041"/>
      <c r="V21" s="2041"/>
      <c r="W21" s="2041"/>
      <c r="X21" s="2046" t="s">
        <v>2071</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c r="B23" s="1994"/>
      <c r="C23" s="1994"/>
      <c r="D23" s="1994"/>
      <c r="E23" s="1994"/>
      <c r="F23" s="1994"/>
      <c r="G23" s="1994"/>
      <c r="H23" s="1995"/>
      <c r="T23" s="1976" t="s">
        <v>2072</v>
      </c>
      <c r="U23" s="2039"/>
      <c r="V23" s="2039"/>
      <c r="W23" s="2039"/>
      <c r="X23" s="2043">
        <v>43831</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62088</v>
      </c>
      <c r="B25" s="1941"/>
      <c r="C25" s="1941"/>
      <c r="D25" s="1941"/>
      <c r="E25" s="1941"/>
      <c r="F25" s="1941"/>
      <c r="G25" s="1941"/>
      <c r="H25" s="1942"/>
      <c r="I25" s="113"/>
      <c r="J25" s="1965"/>
      <c r="K25" s="1965"/>
      <c r="L25" s="1965"/>
      <c r="M25" s="1965"/>
      <c r="N25" s="1965"/>
      <c r="O25" s="1965"/>
      <c r="P25" s="1965"/>
      <c r="Q25" s="1965"/>
      <c r="R25" s="1965"/>
      <c r="S25" s="1966"/>
      <c r="T25" s="2036" t="s">
        <v>2073</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2074</v>
      </c>
      <c r="B38" s="1977"/>
      <c r="C38" s="1977"/>
      <c r="D38" s="1977"/>
      <c r="E38" s="1977"/>
      <c r="F38" s="1941"/>
      <c r="G38" s="1941"/>
      <c r="H38" s="1942"/>
      <c r="I38" s="1969"/>
      <c r="J38" s="1970"/>
      <c r="K38" s="1970"/>
      <c r="L38" s="1970"/>
      <c r="M38" s="1970"/>
      <c r="N38" s="1970"/>
      <c r="O38" s="1970"/>
      <c r="P38" s="1971"/>
      <c r="Q38" s="1971"/>
      <c r="R38" s="1971"/>
      <c r="S38" s="1972"/>
      <c r="T38" s="2026" t="s">
        <v>2078</v>
      </c>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2075</v>
      </c>
      <c r="B40" s="1955"/>
      <c r="C40" s="1956"/>
      <c r="D40" s="1956"/>
      <c r="E40" s="1956"/>
      <c r="F40" s="1957"/>
      <c r="G40" s="1957"/>
      <c r="H40" s="1958"/>
      <c r="I40" s="1979"/>
      <c r="J40" s="1980"/>
      <c r="K40" s="1980"/>
      <c r="L40" s="1980"/>
      <c r="M40" s="1980"/>
      <c r="N40" s="1980"/>
      <c r="O40" s="1980"/>
      <c r="P40" s="1980"/>
      <c r="Q40" s="1980"/>
      <c r="R40" s="1980"/>
      <c r="S40" s="1981"/>
      <c r="T40" s="1979" t="s">
        <v>2079</v>
      </c>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2076</v>
      </c>
      <c r="B42" s="1960"/>
      <c r="C42" s="1961"/>
      <c r="D42" s="1959" t="s">
        <v>2077</v>
      </c>
      <c r="E42" s="1960"/>
      <c r="F42" s="1960"/>
      <c r="G42" s="1960"/>
      <c r="H42" s="1961"/>
      <c r="I42" s="1943"/>
      <c r="J42" s="1944"/>
      <c r="K42" s="1944"/>
      <c r="L42" s="1944"/>
      <c r="M42" s="1944"/>
      <c r="N42" s="1944"/>
      <c r="O42" s="1945"/>
      <c r="P42" s="1978"/>
      <c r="Q42" s="1944"/>
      <c r="R42" s="1944"/>
      <c r="S42" s="1945"/>
      <c r="T42" s="1943" t="s">
        <v>2080</v>
      </c>
      <c r="U42" s="1944"/>
      <c r="V42" s="1944"/>
      <c r="W42" s="1945"/>
      <c r="X42" s="1978" t="s">
        <v>2081</v>
      </c>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sheetPr>
  <dimension ref="A1:F36"/>
  <sheetViews>
    <sheetView showGridLines="0" defaultGridColor="0" colorId="8" zoomScale="110" zoomScaleNormal="110" workbookViewId="0">
      <selection activeCell="E5" sqref="E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1799</v>
      </c>
      <c r="B2" s="1528" t="s">
        <v>1948</v>
      </c>
      <c r="C2" s="714" t="s">
        <v>1949</v>
      </c>
      <c r="D2" s="714" t="s">
        <v>1950</v>
      </c>
      <c r="E2" s="714" t="s">
        <v>1951</v>
      </c>
      <c r="F2" s="714" t="s">
        <v>1952</v>
      </c>
    </row>
    <row r="3" spans="1:6" ht="12" customHeight="1" x14ac:dyDescent="0.2">
      <c r="A3" s="2183"/>
      <c r="B3" s="1525"/>
      <c r="C3" s="1526"/>
      <c r="D3" s="1527" t="s">
        <v>256</v>
      </c>
      <c r="E3" s="1526"/>
      <c r="F3" s="1527" t="s">
        <v>257</v>
      </c>
    </row>
    <row r="4" spans="1:6" ht="13.7" customHeight="1" x14ac:dyDescent="0.2">
      <c r="A4" s="715" t="s">
        <v>1155</v>
      </c>
      <c r="B4" s="1749">
        <f>'Revenues 9-14'!C5</f>
        <v>2266057</v>
      </c>
      <c r="C4" s="1524">
        <v>47939</v>
      </c>
      <c r="D4" s="1752">
        <f>B4-C4</f>
        <v>2218118</v>
      </c>
      <c r="E4" s="1524">
        <f>1518238+697298+2</f>
        <v>2215538</v>
      </c>
      <c r="F4" s="1752">
        <f>E4-C4</f>
        <v>2167599</v>
      </c>
    </row>
    <row r="5" spans="1:6" ht="13.7" customHeight="1" x14ac:dyDescent="0.2">
      <c r="A5" s="715" t="s">
        <v>870</v>
      </c>
      <c r="B5" s="1750">
        <f>'Revenues 9-14'!D5</f>
        <v>504306</v>
      </c>
      <c r="C5" s="585">
        <v>10669</v>
      </c>
      <c r="D5" s="1753">
        <f t="shared" ref="D5:D18" si="0">B5-C5</f>
        <v>493637</v>
      </c>
      <c r="E5" s="585">
        <f>309184+169203</f>
        <v>478387</v>
      </c>
      <c r="F5" s="1753">
        <f>E5-C5</f>
        <v>467718</v>
      </c>
    </row>
    <row r="6" spans="1:6" ht="13.7" customHeight="1" x14ac:dyDescent="0.2">
      <c r="A6" s="715" t="s">
        <v>411</v>
      </c>
      <c r="B6" s="1750">
        <f>'Revenues 9-14'!E5</f>
        <v>159079</v>
      </c>
      <c r="C6" s="585">
        <v>3365</v>
      </c>
      <c r="D6" s="1753">
        <f t="shared" si="0"/>
        <v>155714</v>
      </c>
      <c r="E6" s="585">
        <f>103069+53321</f>
        <v>156390</v>
      </c>
      <c r="F6" s="1753">
        <f t="shared" ref="F6:F18" si="1">E6-C6</f>
        <v>153025</v>
      </c>
    </row>
    <row r="7" spans="1:6" ht="13.7" customHeight="1" x14ac:dyDescent="0.2">
      <c r="A7" s="715" t="s">
        <v>155</v>
      </c>
      <c r="B7" s="1750">
        <f>'Revenues 9-14'!F5</f>
        <v>229967</v>
      </c>
      <c r="C7" s="585">
        <v>4865</v>
      </c>
      <c r="D7" s="1753">
        <f t="shared" si="0"/>
        <v>225102</v>
      </c>
      <c r="E7" s="585">
        <f>141124+75813</f>
        <v>216937</v>
      </c>
      <c r="F7" s="1753">
        <f t="shared" si="1"/>
        <v>212072</v>
      </c>
    </row>
    <row r="8" spans="1:6" ht="13.7" customHeight="1" x14ac:dyDescent="0.2">
      <c r="A8" s="715" t="s">
        <v>1179</v>
      </c>
      <c r="B8" s="1750">
        <f>'Revenues 9-14'!G5</f>
        <v>1076</v>
      </c>
      <c r="C8" s="585">
        <v>23</v>
      </c>
      <c r="D8" s="1753">
        <f t="shared" si="0"/>
        <v>1053</v>
      </c>
      <c r="E8" s="585">
        <f>89511+49042</f>
        <v>138553</v>
      </c>
      <c r="F8" s="1753">
        <f t="shared" si="1"/>
        <v>138530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51019</v>
      </c>
      <c r="C10" s="585">
        <v>1079</v>
      </c>
      <c r="D10" s="1753">
        <f t="shared" si="0"/>
        <v>49940</v>
      </c>
      <c r="E10" s="585">
        <f>31284+17149</f>
        <v>48433</v>
      </c>
      <c r="F10" s="1753">
        <f t="shared" si="1"/>
        <v>47354</v>
      </c>
    </row>
    <row r="11" spans="1:6" x14ac:dyDescent="0.2">
      <c r="A11" s="715" t="s">
        <v>409</v>
      </c>
      <c r="B11" s="1750">
        <f>'Revenues 9-14'!J5</f>
        <v>220417</v>
      </c>
      <c r="C11" s="585">
        <v>4663</v>
      </c>
      <c r="D11" s="1753">
        <f t="shared" si="0"/>
        <v>215754</v>
      </c>
      <c r="E11" s="585">
        <f>135137+73951</f>
        <v>209088</v>
      </c>
      <c r="F11" s="1753">
        <f t="shared" si="1"/>
        <v>204425</v>
      </c>
    </row>
    <row r="12" spans="1:6" ht="13.7" customHeight="1" x14ac:dyDescent="0.2">
      <c r="A12" s="715" t="s">
        <v>157</v>
      </c>
      <c r="B12" s="1750">
        <f>'Revenues 9-14'!K5</f>
        <v>51006</v>
      </c>
      <c r="C12" s="585">
        <v>1079</v>
      </c>
      <c r="D12" s="1753">
        <f t="shared" si="0"/>
        <v>49927</v>
      </c>
      <c r="E12" s="585">
        <f>31284+17149</f>
        <v>48433</v>
      </c>
      <c r="F12" s="1753">
        <f t="shared" si="1"/>
        <v>47354</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40283</v>
      </c>
      <c r="C14" s="585">
        <v>852</v>
      </c>
      <c r="D14" s="1753">
        <f t="shared" si="0"/>
        <v>39431</v>
      </c>
      <c r="E14" s="585">
        <f>24694+13541</f>
        <v>38235</v>
      </c>
      <c r="F14" s="1753">
        <f t="shared" si="1"/>
        <v>37383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137219</v>
      </c>
      <c r="C16" s="585">
        <v>2903</v>
      </c>
      <c r="D16" s="1753">
        <f t="shared" si="0"/>
        <v>134316</v>
      </c>
      <c r="E16" s="585">
        <f>84120+46055</f>
        <v>130175</v>
      </c>
      <c r="F16" s="1753">
        <f t="shared" si="1"/>
        <v>127272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v>70382</v>
      </c>
      <c r="F18" s="1753">
        <f t="shared" si="1"/>
        <v>70382</v>
      </c>
    </row>
    <row r="19" spans="1:6" ht="13.7" customHeight="1" thickBot="1" x14ac:dyDescent="0.25">
      <c r="A19" s="1754" t="s">
        <v>1161</v>
      </c>
      <c r="B19" s="1751">
        <f>SUM(B4:B18)</f>
        <v>3660429</v>
      </c>
      <c r="C19" s="1751">
        <f>SUM(C4:C18)</f>
        <v>77437</v>
      </c>
      <c r="D19" s="1751">
        <f>SUM(D4:D18)</f>
        <v>3582992</v>
      </c>
      <c r="E19" s="1751">
        <f>SUM(E4:E18)</f>
        <v>3750551</v>
      </c>
      <c r="F19" s="1751">
        <f>SUM(F4:F18)</f>
        <v>3673114</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1:K59"/>
  <sheetViews>
    <sheetView showGridLines="0" defaultGridColor="0" topLeftCell="A22" colorId="8" zoomScale="110" zoomScaleNormal="110" workbookViewId="0">
      <selection activeCell="J10" sqref="B7:J1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1799</v>
      </c>
      <c r="B2" s="2210"/>
      <c r="C2" s="1884" t="s">
        <v>1953</v>
      </c>
      <c r="D2" s="723" t="s">
        <v>1954</v>
      </c>
      <c r="E2" s="723" t="s">
        <v>1955</v>
      </c>
      <c r="F2" s="1884" t="s">
        <v>1956</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2083</v>
      </c>
      <c r="B31" s="733">
        <v>42410</v>
      </c>
      <c r="C31" s="734">
        <v>1700000</v>
      </c>
      <c r="D31" s="735">
        <v>2</v>
      </c>
      <c r="E31" s="734">
        <v>1605000</v>
      </c>
      <c r="F31" s="734"/>
      <c r="G31" s="734"/>
      <c r="H31" s="734">
        <v>100000</v>
      </c>
      <c r="I31" s="1756">
        <f>((E31+F31)-H31)+G31</f>
        <v>1505000</v>
      </c>
      <c r="J31" s="734">
        <v>1505000</v>
      </c>
      <c r="K31" s="736"/>
    </row>
    <row r="32" spans="1:11" ht="12" customHeight="1" x14ac:dyDescent="0.2">
      <c r="A32" s="732" t="s">
        <v>2084</v>
      </c>
      <c r="B32" s="733">
        <v>42809</v>
      </c>
      <c r="C32" s="734">
        <v>2790000</v>
      </c>
      <c r="D32" s="735">
        <v>2</v>
      </c>
      <c r="E32" s="734">
        <v>2850000</v>
      </c>
      <c r="F32" s="734"/>
      <c r="G32" s="734"/>
      <c r="H32" s="734">
        <v>75000</v>
      </c>
      <c r="I32" s="1756">
        <f>((E32+F32)-H32)+G32</f>
        <v>2775000</v>
      </c>
      <c r="J32" s="734">
        <v>2455342</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4490000</v>
      </c>
      <c r="D49" s="745"/>
      <c r="E49" s="1756">
        <f t="shared" ref="E49:J49" si="2">SUM(E31:E48)</f>
        <v>4455000</v>
      </c>
      <c r="F49" s="1756">
        <f t="shared" si="2"/>
        <v>0</v>
      </c>
      <c r="G49" s="1756">
        <f t="shared" si="2"/>
        <v>0</v>
      </c>
      <c r="H49" s="1756">
        <f t="shared" si="2"/>
        <v>175000</v>
      </c>
      <c r="I49" s="1756">
        <f t="shared" si="2"/>
        <v>4280000</v>
      </c>
      <c r="J49" s="1756">
        <f t="shared" si="2"/>
        <v>3960342</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C00000"/>
  </sheetPr>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1809</v>
      </c>
      <c r="K2" s="762" t="s">
        <v>138</v>
      </c>
    </row>
    <row r="3" spans="1:11" x14ac:dyDescent="0.2">
      <c r="A3" s="2235" t="s">
        <v>1961</v>
      </c>
      <c r="B3" s="2236"/>
      <c r="C3" s="2236"/>
      <c r="D3" s="2236"/>
      <c r="E3" s="2237"/>
      <c r="F3" s="763"/>
      <c r="G3" s="764"/>
      <c r="H3" s="764"/>
      <c r="I3" s="764"/>
      <c r="J3" s="765">
        <v>258857</v>
      </c>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40283</v>
      </c>
      <c r="I5" s="772"/>
      <c r="J5" s="773"/>
      <c r="K5" s="773"/>
    </row>
    <row r="6" spans="1:11" x14ac:dyDescent="0.2">
      <c r="A6" s="774" t="s">
        <v>720</v>
      </c>
      <c r="B6" s="775"/>
      <c r="C6" s="775"/>
      <c r="D6" s="775"/>
      <c r="E6" s="776"/>
      <c r="F6" s="777" t="s">
        <v>849</v>
      </c>
      <c r="G6" s="764"/>
      <c r="H6" s="764">
        <v>8</v>
      </c>
      <c r="I6" s="764"/>
      <c r="J6" s="765">
        <v>1031</v>
      </c>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47027</v>
      </c>
      <c r="K8" s="769"/>
    </row>
    <row r="9" spans="1:11" x14ac:dyDescent="0.2">
      <c r="A9" s="778" t="s">
        <v>138</v>
      </c>
      <c r="B9" s="779"/>
      <c r="C9" s="779"/>
      <c r="D9" s="779"/>
      <c r="E9" s="780"/>
      <c r="F9" s="777" t="s">
        <v>853</v>
      </c>
      <c r="G9" s="782"/>
      <c r="H9" s="771"/>
      <c r="I9" s="771"/>
      <c r="J9" s="781"/>
      <c r="K9" s="765">
        <v>20080</v>
      </c>
    </row>
    <row r="10" spans="1:11" x14ac:dyDescent="0.2">
      <c r="A10" s="2216" t="s">
        <v>1810</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40291</v>
      </c>
      <c r="I12" s="1758">
        <f>SUM(I5:I11)</f>
        <v>0</v>
      </c>
      <c r="J12" s="1758">
        <f>SUM(J5:J11)</f>
        <v>48058</v>
      </c>
      <c r="K12" s="1758">
        <f>SUM(K5:K11)</f>
        <v>20080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40291</v>
      </c>
      <c r="I14" s="771"/>
      <c r="J14" s="773"/>
      <c r="K14" s="765">
        <v>20080</v>
      </c>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1806</v>
      </c>
      <c r="B19" s="2225"/>
      <c r="C19" s="2225"/>
      <c r="D19" s="2225"/>
      <c r="E19" s="2226"/>
      <c r="F19" s="789" t="s">
        <v>933</v>
      </c>
      <c r="G19" s="782"/>
      <c r="H19" s="782"/>
      <c r="I19" s="782"/>
      <c r="J19" s="765"/>
      <c r="K19" s="795"/>
    </row>
    <row r="20" spans="1:11" x14ac:dyDescent="0.2">
      <c r="A20" s="2227" t="s">
        <v>1811</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1812</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40291</v>
      </c>
      <c r="I23" s="1758">
        <f>SUM(I14:I16,I21,I22)</f>
        <v>0</v>
      </c>
      <c r="J23" s="1758">
        <f>SUM(J14:J16,J21,J22)</f>
        <v>0</v>
      </c>
      <c r="K23" s="1758">
        <f>SUM(K14:K16,K21,K22)</f>
        <v>20080</v>
      </c>
    </row>
    <row r="24" spans="1:11" ht="14.25" thickTop="1" thickBot="1" x14ac:dyDescent="0.25">
      <c r="A24" s="2247" t="s">
        <v>1962</v>
      </c>
      <c r="B24" s="2246"/>
      <c r="C24" s="2246"/>
      <c r="D24" s="2246"/>
      <c r="E24" s="2246"/>
      <c r="F24" s="1762"/>
      <c r="G24" s="1763">
        <f>SUM(G3,G12)-G23</f>
        <v>0</v>
      </c>
      <c r="H24" s="1763">
        <f>SUM(H3,H12)-H23</f>
        <v>0</v>
      </c>
      <c r="I24" s="1763">
        <f>SUM(I3,I12)-I23</f>
        <v>0</v>
      </c>
      <c r="J24" s="1763">
        <f>SUM(J3,J12)-J23</f>
        <v>306915</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306915</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C00000"/>
  </sheetPr>
  <dimension ref="A1:N27"/>
  <sheetViews>
    <sheetView showGridLines="0" defaultGridColor="0" colorId="8" zoomScale="110" zoomScaleNormal="110" workbookViewId="0">
      <selection activeCell="F17" sqref="F1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1906</v>
      </c>
      <c r="B1" s="2253"/>
      <c r="C1" s="2254"/>
      <c r="D1" s="826"/>
      <c r="E1" s="827"/>
      <c r="F1" s="827"/>
      <c r="G1" s="828"/>
      <c r="H1" s="829"/>
      <c r="I1" s="830"/>
      <c r="J1" s="2250"/>
      <c r="K1" s="2251"/>
      <c r="L1" s="2251"/>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223421</v>
      </c>
      <c r="D5" s="841"/>
      <c r="E5" s="841"/>
      <c r="F5" s="1760">
        <f>(C5+D5)-E5</f>
        <v>223421</v>
      </c>
      <c r="G5" s="837"/>
      <c r="H5" s="842"/>
      <c r="I5" s="842"/>
      <c r="J5" s="842"/>
      <c r="K5" s="793"/>
      <c r="L5" s="1769">
        <f>F5-K5</f>
        <v>223421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13868462</v>
      </c>
      <c r="D8" s="844">
        <v>2486</v>
      </c>
      <c r="E8" s="844"/>
      <c r="F8" s="1760">
        <f>(C8+D8)-E8</f>
        <v>13870948</v>
      </c>
      <c r="G8" s="843">
        <v>50</v>
      </c>
      <c r="H8" s="765">
        <v>5490691</v>
      </c>
      <c r="I8" s="765">
        <v>167580</v>
      </c>
      <c r="J8" s="765"/>
      <c r="K8" s="1769">
        <f>(H8+I8)-J8</f>
        <v>5658271</v>
      </c>
      <c r="L8" s="1769">
        <f>F8-K8</f>
        <v>8212677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773280</v>
      </c>
      <c r="D10" s="846"/>
      <c r="E10" s="846"/>
      <c r="F10" s="1764">
        <f>(C10+D10)-E10</f>
        <v>773280</v>
      </c>
      <c r="G10" s="843">
        <v>20</v>
      </c>
      <c r="H10" s="847">
        <v>410755</v>
      </c>
      <c r="I10" s="847">
        <v>18126</v>
      </c>
      <c r="J10" s="847"/>
      <c r="K10" s="1769">
        <f>(H10+I10)-J10</f>
        <v>428881</v>
      </c>
      <c r="L10" s="1769">
        <f>F10-K10</f>
        <v>344399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4926728</v>
      </c>
      <c r="D12" s="844">
        <f>5843+319144</f>
        <v>324987</v>
      </c>
      <c r="E12" s="844"/>
      <c r="F12" s="1760">
        <f>(C12+D12)-E12</f>
        <v>5251715</v>
      </c>
      <c r="G12" s="843">
        <v>10</v>
      </c>
      <c r="H12" s="765">
        <v>3459889</v>
      </c>
      <c r="I12" s="765">
        <v>162933</v>
      </c>
      <c r="J12" s="765"/>
      <c r="K12" s="1769">
        <f>(H12+I12)-J12</f>
        <v>3622822</v>
      </c>
      <c r="L12" s="1769">
        <f>F12-K12</f>
        <v>1628893</v>
      </c>
    </row>
    <row r="13" spans="1:14" ht="14.25" thickTop="1" thickBot="1" x14ac:dyDescent="0.25">
      <c r="A13" s="848" t="s">
        <v>1122</v>
      </c>
      <c r="B13" s="840">
        <v>252</v>
      </c>
      <c r="C13" s="844">
        <v>1666477</v>
      </c>
      <c r="D13" s="844">
        <v>52745</v>
      </c>
      <c r="E13" s="844"/>
      <c r="F13" s="1760">
        <f>(C13+D13)-E13</f>
        <v>1719222</v>
      </c>
      <c r="G13" s="843">
        <v>5</v>
      </c>
      <c r="H13" s="765">
        <v>1267664</v>
      </c>
      <c r="I13" s="765">
        <v>57519</v>
      </c>
      <c r="J13" s="765"/>
      <c r="K13" s="1769">
        <f>(H13+I13)-J13</f>
        <v>1325183</v>
      </c>
      <c r="L13" s="1769">
        <f>F13-K13</f>
        <v>394039</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21458368</v>
      </c>
      <c r="D16" s="1760">
        <f>SUM(D3,D5:D6,D8:D10,D12:D15)</f>
        <v>380218</v>
      </c>
      <c r="E16" s="1760">
        <f>SUM(E3,E5:E6,E8:E10,E12:E15)</f>
        <v>0</v>
      </c>
      <c r="F16" s="1760">
        <f>SUM(F3,F5:F6,F8:F10,F12:F15)</f>
        <v>21838586</v>
      </c>
      <c r="G16" s="843"/>
      <c r="H16" s="1760">
        <f>SUM(H3,H6,H8:H10,H12:H14,)</f>
        <v>10628999</v>
      </c>
      <c r="I16" s="1760">
        <f>SUM(I3,I6,I8:I10,I12:I14,)</f>
        <v>406158</v>
      </c>
      <c r="J16" s="1760">
        <f>SUM(J3,J6,J8:J10,J12:J14,)</f>
        <v>0</v>
      </c>
      <c r="K16" s="1760">
        <f>(H16+I16)-J16</f>
        <v>11035157</v>
      </c>
      <c r="L16" s="1760">
        <f>F16-K16</f>
        <v>10803429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406158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C00000"/>
  </sheetPr>
  <dimension ref="A1:H202"/>
  <sheetViews>
    <sheetView showGridLines="0" defaultGridColor="0" topLeftCell="D1" colorId="8" zoomScale="110" zoomScaleNormal="110" workbookViewId="0">
      <pane ySplit="5" topLeftCell="A16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1972</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8255611</v>
      </c>
      <c r="G8" s="865"/>
    </row>
    <row r="9" spans="1:7" x14ac:dyDescent="0.2">
      <c r="A9" s="869" t="s">
        <v>460</v>
      </c>
      <c r="B9" s="870" t="s">
        <v>1874</v>
      </c>
      <c r="C9" s="871"/>
      <c r="D9" s="869" t="s">
        <v>501</v>
      </c>
      <c r="E9" s="868"/>
      <c r="F9" s="1909">
        <f>'Expenditures 15-22'!K151</f>
        <v>983652</v>
      </c>
      <c r="G9" s="872"/>
    </row>
    <row r="10" spans="1:7" x14ac:dyDescent="0.2">
      <c r="A10" s="869" t="s">
        <v>499</v>
      </c>
      <c r="B10" s="870" t="s">
        <v>1875</v>
      </c>
      <c r="C10" s="871"/>
      <c r="D10" s="869" t="s">
        <v>501</v>
      </c>
      <c r="E10" s="868"/>
      <c r="F10" s="1909">
        <f>'Expenditures 15-22'!K174</f>
        <v>333996</v>
      </c>
      <c r="G10" s="872"/>
    </row>
    <row r="11" spans="1:7" x14ac:dyDescent="0.2">
      <c r="A11" s="869" t="s">
        <v>461</v>
      </c>
      <c r="B11" s="870" t="s">
        <v>1876</v>
      </c>
      <c r="C11" s="871"/>
      <c r="D11" s="869" t="s">
        <v>501</v>
      </c>
      <c r="E11" s="868"/>
      <c r="F11" s="1909">
        <f>'Expenditures 15-22'!K210</f>
        <v>433795</v>
      </c>
      <c r="G11" s="872"/>
    </row>
    <row r="12" spans="1:7" x14ac:dyDescent="0.2">
      <c r="A12" s="869" t="s">
        <v>462</v>
      </c>
      <c r="B12" s="870" t="s">
        <v>1877</v>
      </c>
      <c r="C12" s="871"/>
      <c r="D12" s="869" t="s">
        <v>501</v>
      </c>
      <c r="E12" s="868"/>
      <c r="F12" s="1909">
        <f>'Expenditures 15-22'!K295</f>
        <v>308606</v>
      </c>
      <c r="G12" s="872"/>
    </row>
    <row r="13" spans="1:7" x14ac:dyDescent="0.2">
      <c r="A13" s="869" t="s">
        <v>106</v>
      </c>
      <c r="B13" s="870" t="s">
        <v>1878</v>
      </c>
      <c r="C13" s="871"/>
      <c r="D13" s="869" t="s">
        <v>501</v>
      </c>
      <c r="E13" s="868"/>
      <c r="F13" s="1909">
        <f>'Expenditures 15-22'!K342</f>
        <v>172305</v>
      </c>
      <c r="G13" s="873"/>
    </row>
    <row r="14" spans="1:7" ht="12" customHeight="1" thickBot="1" x14ac:dyDescent="0.25">
      <c r="A14" s="1770"/>
      <c r="B14" s="1771"/>
      <c r="C14" s="1772"/>
      <c r="D14" s="1773" t="s">
        <v>501</v>
      </c>
      <c r="E14" s="1774" t="s">
        <v>958</v>
      </c>
      <c r="F14" s="1775">
        <f>SUM(F8:F13)</f>
        <v>10487965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5446</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161234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39884</v>
      </c>
      <c r="G52" s="865"/>
    </row>
    <row r="53" spans="1:7" x14ac:dyDescent="0.2">
      <c r="A53" s="869" t="s">
        <v>459</v>
      </c>
      <c r="B53" s="869" t="s">
        <v>1475</v>
      </c>
      <c r="C53" s="889">
        <f>'Expenditures 15-22'!B102</f>
        <v>4000</v>
      </c>
      <c r="D53" s="888" t="str">
        <f>'Expenditures 15-22'!A102</f>
        <v>Total Payments to Other Govt Units</v>
      </c>
      <c r="E53" s="868"/>
      <c r="F53" s="1913">
        <f>'Expenditures 15-22'!K102</f>
        <v>737185</v>
      </c>
      <c r="G53" s="865"/>
    </row>
    <row r="54" spans="1:7" x14ac:dyDescent="0.2">
      <c r="A54" s="869" t="s">
        <v>459</v>
      </c>
      <c r="B54" s="869" t="s">
        <v>1476</v>
      </c>
      <c r="C54" s="889" t="s">
        <v>982</v>
      </c>
      <c r="D54" s="885" t="s">
        <v>1095</v>
      </c>
      <c r="E54" s="868"/>
      <c r="F54" s="1913">
        <f>'Expenditures 15-22'!G114</f>
        <v>57248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267740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175000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1035</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52745</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7684</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4156</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1509357</v>
      </c>
      <c r="G76" s="865"/>
    </row>
    <row r="77" spans="1:8" s="893" customFormat="1" ht="12" customHeight="1" thickTop="1" thickBot="1" x14ac:dyDescent="0.25">
      <c r="A77" s="1779"/>
      <c r="B77" s="1776"/>
      <c r="C77" s="1772"/>
      <c r="D77" s="1777" t="s">
        <v>1897</v>
      </c>
      <c r="E77" s="1774"/>
      <c r="F77" s="1780">
        <f>(F14-F76)</f>
        <v>8978608</v>
      </c>
      <c r="G77" s="869"/>
    </row>
    <row r="78" spans="1:8" s="893" customFormat="1" ht="12" customHeight="1" thickTop="1" x14ac:dyDescent="0.2">
      <c r="A78" s="1781"/>
      <c r="B78" s="1776"/>
      <c r="C78" s="1772"/>
      <c r="D78" s="1777" t="s">
        <v>2059</v>
      </c>
      <c r="E78" s="1774"/>
      <c r="F78" s="898">
        <v>1182.9000000000001</v>
      </c>
      <c r="G78" s="899"/>
      <c r="H78" s="869"/>
    </row>
    <row r="79" spans="1:8" s="893" customFormat="1" ht="12" customHeight="1" thickBot="1" x14ac:dyDescent="0.25">
      <c r="A79" s="1782"/>
      <c r="B79" s="1776"/>
      <c r="C79" s="1772"/>
      <c r="D79" s="1777" t="s">
        <v>1898</v>
      </c>
      <c r="E79" s="1774" t="s">
        <v>958</v>
      </c>
      <c r="F79" s="1783">
        <f>IF(F78&gt;0,F77/F78," Complete Line 78")</f>
        <v>7590.3356158593278</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646</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4403</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157819</v>
      </c>
      <c r="G94" s="912"/>
    </row>
    <row r="95" spans="1:7" x14ac:dyDescent="0.2">
      <c r="A95" s="908" t="s">
        <v>140</v>
      </c>
      <c r="B95" s="908" t="s">
        <v>175</v>
      </c>
      <c r="C95" s="910">
        <v>1700</v>
      </c>
      <c r="D95" s="918" t="str">
        <f>'Revenues 9-14'!A82</f>
        <v>Total District/School Activity Income</v>
      </c>
      <c r="E95" s="906"/>
      <c r="F95" s="1789">
        <f>SUM('Revenues 9-14'!C82,'Revenues 9-14'!D82)</f>
        <v>101362</v>
      </c>
      <c r="G95" s="912"/>
    </row>
    <row r="96" spans="1:7" x14ac:dyDescent="0.2">
      <c r="A96" s="908" t="s">
        <v>459</v>
      </c>
      <c r="B96" s="908" t="s">
        <v>176</v>
      </c>
      <c r="C96" s="910">
        <f>'Revenues 9-14'!B84</f>
        <v>1811</v>
      </c>
      <c r="D96" s="911" t="str">
        <f>'Revenues 9-14'!A84</f>
        <v>Rentals - Regular Textbooks</v>
      </c>
      <c r="E96" s="906"/>
      <c r="F96" s="1789">
        <f>'Revenues 9-14'!C84</f>
        <v>67876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21501</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38184</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61372</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60930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4244</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20080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225062</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4553</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246071</v>
      </c>
      <c r="G125" s="930"/>
    </row>
    <row r="126" spans="1:7" x14ac:dyDescent="0.2">
      <c r="A126" s="927" t="s">
        <v>668</v>
      </c>
      <c r="B126" s="927" t="s">
        <v>2021</v>
      </c>
      <c r="C126" s="932">
        <v>4300</v>
      </c>
      <c r="D126" s="933" t="str">
        <f>'Revenues 9-14'!A204</f>
        <v>Total Title I</v>
      </c>
      <c r="E126" s="906"/>
      <c r="F126" s="1789">
        <f>SUM('Revenues 9-14'!C204,'Revenues 9-14'!D204,'Revenues 9-14'!F204,'Revenues 9-14'!G204)</f>
        <v>240643</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6761</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330178</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11152</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39680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16715</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41524</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297713</v>
      </c>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1998469</v>
      </c>
    </row>
    <row r="175" spans="1:7" ht="12" customHeight="1" x14ac:dyDescent="0.2">
      <c r="A175" s="1770"/>
      <c r="B175" s="1784"/>
      <c r="C175" s="1785"/>
      <c r="D175" s="1786" t="s">
        <v>2054</v>
      </c>
      <c r="E175" s="1787"/>
      <c r="F175" s="1789">
        <f>'PCTC-OEPP 27-28'!F77-F174</f>
        <v>6980139</v>
      </c>
    </row>
    <row r="176" spans="1:7" ht="12" customHeight="1" x14ac:dyDescent="0.2">
      <c r="A176" s="1770"/>
      <c r="B176" s="1784"/>
      <c r="C176" s="1785"/>
      <c r="D176" s="1786" t="s">
        <v>1814</v>
      </c>
      <c r="E176" s="1787"/>
      <c r="F176" s="1789">
        <f>'Cap Outlay Deprec 26'!I18</f>
        <v>406158</v>
      </c>
    </row>
    <row r="177" spans="1:7" ht="12" customHeight="1" x14ac:dyDescent="0.2">
      <c r="A177" s="1770"/>
      <c r="B177" s="1784"/>
      <c r="C177" s="1785"/>
      <c r="D177" s="1786" t="s">
        <v>2055</v>
      </c>
      <c r="E177" s="1787"/>
      <c r="F177" s="1789">
        <f>F175+F176</f>
        <v>7386297</v>
      </c>
    </row>
    <row r="178" spans="1:7" ht="12" customHeight="1" x14ac:dyDescent="0.2">
      <c r="A178" s="1770"/>
      <c r="B178" s="1790"/>
      <c r="C178" s="1785"/>
      <c r="D178" s="1786" t="str">
        <f>D78</f>
        <v>9 Month ADA from District Average Daily Attendance/Prior General State Aid Inquiry 2018-2019</v>
      </c>
      <c r="E178" s="1787"/>
      <c r="F178" s="1791">
        <f>'PCTC-OEPP 27-28'!F78</f>
        <v>1182.9000000000001</v>
      </c>
      <c r="G178" s="930"/>
    </row>
    <row r="179" spans="1:7" ht="12" customHeight="1" thickBot="1" x14ac:dyDescent="0.25">
      <c r="A179" s="1770"/>
      <c r="B179" s="1790"/>
      <c r="C179" s="1785"/>
      <c r="D179" s="1786" t="s">
        <v>2056</v>
      </c>
      <c r="E179" s="1787" t="s">
        <v>1545</v>
      </c>
      <c r="F179" s="1792">
        <f>F177/F178</f>
        <v>6244.2277453715442</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pageSetUpPr fitToPage="1"/>
  </sheetPr>
  <dimension ref="A1:H141"/>
  <sheetViews>
    <sheetView showGridLines="0" zoomScaleNormal="100" workbookViewId="0">
      <selection activeCell="D17" sqref="D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1815</v>
      </c>
      <c r="B4" s="2270"/>
      <c r="C4" s="2270"/>
      <c r="D4" s="2270"/>
      <c r="E4" s="2270"/>
      <c r="F4" s="2270"/>
      <c r="G4" s="2271"/>
    </row>
    <row r="5" spans="1:7" x14ac:dyDescent="0.25">
      <c r="A5" s="2272"/>
      <c r="B5" s="2273"/>
      <c r="C5" s="2273"/>
      <c r="D5" s="2273"/>
      <c r="E5" s="2273"/>
      <c r="F5" s="2273"/>
      <c r="G5" s="2274"/>
    </row>
    <row r="6" spans="1:7" ht="18.75" x14ac:dyDescent="0.25">
      <c r="A6" s="1534" t="s">
        <v>1816</v>
      </c>
      <c r="B6" s="1535"/>
      <c r="C6" s="1535"/>
      <c r="D6" s="1535"/>
      <c r="E6" s="1535"/>
      <c r="F6" s="1535"/>
      <c r="G6" s="1536"/>
    </row>
    <row r="7" spans="1:7" ht="30.75" customHeight="1" x14ac:dyDescent="0.25">
      <c r="A7" s="2275" t="s">
        <v>1929</v>
      </c>
      <c r="B7" s="2276"/>
      <c r="C7" s="2276"/>
      <c r="D7" s="2276"/>
      <c r="E7" s="2276"/>
      <c r="F7" s="2276"/>
      <c r="G7" s="2277"/>
    </row>
    <row r="8" spans="1:7" ht="15.75" customHeight="1" x14ac:dyDescent="0.25">
      <c r="A8" s="2278" t="s">
        <v>1904</v>
      </c>
      <c r="B8" s="2279"/>
      <c r="C8" s="2279"/>
      <c r="D8" s="2279"/>
      <c r="E8" s="2279"/>
      <c r="F8" s="2279"/>
      <c r="G8" s="2280"/>
    </row>
    <row r="9" spans="1:7" ht="35.25" customHeight="1" x14ac:dyDescent="0.25">
      <c r="A9" s="2275" t="s">
        <v>1932</v>
      </c>
      <c r="B9" s="2276"/>
      <c r="C9" s="2276"/>
      <c r="D9" s="2276"/>
      <c r="E9" s="2276"/>
      <c r="F9" s="2276"/>
      <c r="G9" s="2277"/>
    </row>
    <row r="10" spans="1:7" ht="15" customHeight="1" x14ac:dyDescent="0.25">
      <c r="A10" s="1537" t="s">
        <v>1817</v>
      </c>
      <c r="B10" s="1538"/>
      <c r="C10" s="1538"/>
      <c r="D10" s="1538"/>
      <c r="E10" s="1538"/>
      <c r="F10" s="1538"/>
      <c r="G10" s="1539"/>
    </row>
    <row r="11" spans="1:7" ht="17.25" customHeight="1" x14ac:dyDescent="0.25">
      <c r="A11" s="2275" t="s">
        <v>1931</v>
      </c>
      <c r="B11" s="2276"/>
      <c r="C11" s="2276"/>
      <c r="D11" s="2276"/>
      <c r="E11" s="2276"/>
      <c r="F11" s="2276"/>
      <c r="G11" s="2277"/>
    </row>
    <row r="12" spans="1:7" ht="15" customHeight="1" x14ac:dyDescent="0.25">
      <c r="A12" s="1537" t="s">
        <v>1822</v>
      </c>
      <c r="B12" s="1538"/>
      <c r="C12" s="1538"/>
      <c r="D12" s="1538"/>
      <c r="E12" s="1538"/>
      <c r="F12" s="1538"/>
      <c r="G12" s="1539"/>
    </row>
    <row r="13" spans="1:7" ht="32.25" customHeight="1" x14ac:dyDescent="0.25">
      <c r="A13" s="2266" t="s">
        <v>1973</v>
      </c>
      <c r="B13" s="2267"/>
      <c r="C13" s="2267"/>
      <c r="D13" s="2267"/>
      <c r="E13" s="2267"/>
      <c r="F13" s="2267"/>
      <c r="G13" s="2268"/>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8"/>
      <c r="C17" s="1939"/>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00000"/>
  </sheetPr>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f>219292+3699+1050+4398</f>
        <v>228439</v>
      </c>
      <c r="F10" s="974"/>
      <c r="G10" s="975"/>
      <c r="H10" s="162"/>
      <c r="I10" s="162"/>
    </row>
    <row r="11" spans="1:9" s="668" customFormat="1" ht="22.5" customHeight="1" x14ac:dyDescent="0.2">
      <c r="A11" s="2286" t="s">
        <v>1974</v>
      </c>
      <c r="B11" s="2287"/>
      <c r="C11" s="2287"/>
      <c r="D11" s="2288"/>
      <c r="E11" s="977">
        <v>28562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5864102</v>
      </c>
      <c r="F19" s="1799"/>
      <c r="G19" s="1801">
        <f>'Expenditures 15-22'!K33-SUM('Expenditures 15-22'!G33,'Expenditures 15-22'!I33)+'Expenditures 15-22'!D229</f>
        <v>5864102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205013</v>
      </c>
      <c r="F21" s="1802"/>
      <c r="G21" s="1805">
        <f>'Expenditures 15-22'!K42-SUM('Expenditures 15-22'!G42,'Expenditures 15-22'!I42)+'Expenditures 15-22'!K120-SUM('Expenditures 15-22'!G120,'Expenditures 15-22'!I120)+'Expenditures 15-22'!K180-SUM('Expenditures 15-22'!G180,'Expenditures 15-22'!I180)+'Expenditures 15-22'!D238</f>
        <v>205013</v>
      </c>
      <c r="H21" s="987"/>
      <c r="I21" s="162"/>
    </row>
    <row r="22" spans="1:9" s="668" customFormat="1" ht="12" customHeight="1" x14ac:dyDescent="0.2">
      <c r="A22" s="994" t="s">
        <v>564</v>
      </c>
      <c r="B22" s="995"/>
      <c r="C22" s="993">
        <v>2200</v>
      </c>
      <c r="D22" s="1802"/>
      <c r="E22" s="1804">
        <f>'Expenditures 15-22'!K47-SUM('Expenditures 15-22'!G47,'Expenditures 15-22'!I47)+'Expenditures 15-22'!D243</f>
        <v>123200</v>
      </c>
      <c r="F22" s="1802"/>
      <c r="G22" s="1805">
        <f>'Expenditures 15-22'!K47-SUM('Expenditures 15-22'!G47,'Expenditures 15-22'!I47)+'Expenditures 15-22'!D243</f>
        <v>123200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414802</v>
      </c>
      <c r="F23" s="1802"/>
      <c r="G23" s="1804">
        <f>'Expenditures 15-22'!K53-SUM('Expenditures 15-22'!G53,'Expenditures 15-22'!I53)+'Expenditures 15-22'!D257+'Expenditures 15-22'!K330-SUM('Expenditures 15-22'!G330,'Expenditures 15-22'!I330)</f>
        <v>414802</v>
      </c>
      <c r="H23" s="987"/>
      <c r="I23" s="162"/>
    </row>
    <row r="24" spans="1:9" s="668" customFormat="1" ht="12" customHeight="1" x14ac:dyDescent="0.2">
      <c r="A24" s="994" t="s">
        <v>566</v>
      </c>
      <c r="B24" s="995"/>
      <c r="C24" s="993">
        <v>2400</v>
      </c>
      <c r="D24" s="1802"/>
      <c r="E24" s="1804">
        <f>'Expenditures 15-22'!K57-SUM('Expenditures 15-22'!G57,'Expenditures 15-22'!I57)+'Expenditures 15-22'!D261</f>
        <v>459502</v>
      </c>
      <c r="F24" s="1802"/>
      <c r="G24" s="1805">
        <f>'Expenditures 15-22'!K57-SUM('Expenditures 15-22'!G57,'Expenditures 15-22'!I57)+'Expenditures 15-22'!D261</f>
        <v>459502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220409</v>
      </c>
      <c r="E27" s="1804">
        <f>E8</f>
        <v>0</v>
      </c>
      <c r="F27" s="1804">
        <f>'Expenditures 15-22'!K60-SUM('Expenditures 15-22'!G60,'Expenditures 15-22'!I60)+'Expenditures 15-22'!D264-E8</f>
        <v>220409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783980</v>
      </c>
      <c r="F28" s="1806">
        <f>'Expenditures 15-22'!K61-SUM('Expenditures 15-22'!G61,'Expenditures 15-22'!I61)+'Expenditures 15-22'!K124-SUM('Expenditures 15-22'!G124,'Expenditures 15-22'!I124)+'Expenditures 15-22'!D266-E9</f>
        <v>783980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420306</v>
      </c>
      <c r="F29" s="1802"/>
      <c r="G29" s="1805">
        <f>'Expenditures 15-22'!K62-SUM('Expenditures 15-22'!G62,'Expenditures 15-22'!I62)+'Expenditures 15-22'!K125-SUM('Expenditures 15-22'!G125,'Expenditures 15-22'!I125)+'Expenditures 15-22'!K182-SUM('Expenditures 15-22'!G182,'Expenditures 15-22'!I182)+'Expenditures 15-22'!D267</f>
        <v>420306</v>
      </c>
      <c r="H29" s="985"/>
    </row>
    <row r="30" spans="1:9" ht="12" customHeight="1" x14ac:dyDescent="0.2">
      <c r="A30" s="994" t="s">
        <v>100</v>
      </c>
      <c r="B30" s="997"/>
      <c r="C30" s="993">
        <v>2560</v>
      </c>
      <c r="D30" s="1802"/>
      <c r="E30" s="1804">
        <f>'Expenditures 15-22'!K63-SUM('Expenditures 15-22'!G63,'Expenditures 15-22'!I63)+'Expenditures 15-22'!D268-E10</f>
        <v>92508</v>
      </c>
      <c r="F30" s="1802"/>
      <c r="G30" s="1804">
        <f>'Expenditures 15-22'!K63-SUM('Expenditures 15-22'!G63,'Expenditures 15-22'!I63)+'Expenditures 15-22'!D268-E10</f>
        <v>92508</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181342</v>
      </c>
      <c r="E37" s="1804">
        <f>E14</f>
        <v>0</v>
      </c>
      <c r="F37" s="1804">
        <f>'Expenditures 15-22'!K71-SUM('Expenditures 15-22'!G71,'Expenditures 15-22'!I71)+'Expenditures 15-22'!D276-E14</f>
        <v>181342</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373</v>
      </c>
      <c r="F38" s="1802"/>
      <c r="G38" s="1804">
        <f>'Expenditures 15-22'!K73-SUM('Expenditures 15-22'!G73,'Expenditures 15-22'!I73)+'Expenditures 15-22'!K128-SUM('Expenditures 15-22'!G128,'Expenditures 15-22'!I128)+'Expenditures 15-22'!K183-SUM('Expenditures 15-22'!G183,'Expenditures 15-22'!I183)+'Expenditures 15-22'!D278</f>
        <v>373</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44040</v>
      </c>
      <c r="F39" s="1802"/>
      <c r="G39" s="1804">
        <f>'Expenditures 15-22'!K75-SUM('Expenditures 15-22'!G75,'Expenditures 15-22'!I75)+'Expenditures 15-22'!K130-SUM('Expenditures 15-22'!G130,'Expenditures 15-22'!I130)+'Expenditures 15-22'!K185-SUM('Expenditures 15-22'!G185,'Expenditures 15-22'!I185)+'Expenditures 15-22'!D280</f>
        <v>44040</v>
      </c>
    </row>
    <row r="40" spans="1:7" ht="12" customHeight="1" x14ac:dyDescent="0.2">
      <c r="A40" s="990" t="s">
        <v>1820</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401751</v>
      </c>
      <c r="E41" s="1806">
        <f>SUM(E19:E40)</f>
        <v>8407826</v>
      </c>
      <c r="F41" s="1806">
        <f>SUM(F19:F39)</f>
        <v>1185731</v>
      </c>
      <c r="G41" s="1806">
        <f>SUM(G19:G40)</f>
        <v>7623846</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401751</v>
      </c>
      <c r="F43" s="1807" t="s">
        <v>473</v>
      </c>
      <c r="G43" s="1808">
        <f>F41</f>
        <v>1185731</v>
      </c>
    </row>
    <row r="44" spans="1:7" ht="12" customHeight="1" x14ac:dyDescent="0.2">
      <c r="A44" s="987"/>
      <c r="B44" s="162"/>
      <c r="C44" s="1001"/>
      <c r="D44" s="1807" t="s">
        <v>474</v>
      </c>
      <c r="E44" s="1808">
        <f>E41</f>
        <v>8407826</v>
      </c>
      <c r="F44" s="1807" t="s">
        <v>474</v>
      </c>
      <c r="G44" s="1808">
        <f>G41</f>
        <v>7623846</v>
      </c>
    </row>
    <row r="45" spans="1:7" ht="12" customHeight="1" x14ac:dyDescent="0.2">
      <c r="A45" s="987"/>
      <c r="B45" s="162"/>
      <c r="C45" s="162"/>
      <c r="D45" s="1809" t="s">
        <v>1006</v>
      </c>
      <c r="E45" s="1810">
        <f>(E43/E44)</f>
        <v>4.7782982188261269E-2</v>
      </c>
      <c r="F45" s="1809" t="s">
        <v>1006</v>
      </c>
      <c r="G45" s="1810">
        <f>(G43/G44)</f>
        <v>0.15552924337663693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00000"/>
  </sheetPr>
  <dimension ref="A1:L97"/>
  <sheetViews>
    <sheetView showGridLines="0" zoomScale="110" zoomScaleNormal="110" workbookViewId="0">
      <pane ySplit="4" topLeftCell="A7" activePane="bottomLeft" state="frozen"/>
      <selection activeCell="A47" sqref="A47"/>
      <selection pane="bottomLeft" activeCell="D10" sqref="D1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STAUNTON CUSD 6</v>
      </c>
      <c r="D6" s="2307"/>
      <c r="E6" s="2307"/>
      <c r="F6" s="1852"/>
    </row>
    <row r="7" spans="1:10" ht="11.25" customHeight="1" thickBot="1" x14ac:dyDescent="0.3">
      <c r="A7" s="1850"/>
      <c r="B7" s="1851"/>
      <c r="C7" s="2308">
        <f>COVER!A13</f>
        <v>40056006026</v>
      </c>
      <c r="D7" s="2308"/>
      <c r="E7" s="2308"/>
      <c r="F7" s="1852"/>
    </row>
    <row r="8" spans="1:10" ht="25.5" customHeight="1" thickBot="1" x14ac:dyDescent="0.25">
      <c r="A8" s="1893" t="s">
        <v>1905</v>
      </c>
      <c r="B8" s="1853" t="s">
        <v>2061</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C00000"/>
  </sheetPr>
  <dimension ref="A1:Q40"/>
  <sheetViews>
    <sheetView showGridLines="0" defaultGridColor="0" colorId="8" zoomScale="110" zoomScaleNormal="110" workbookViewId="0">
      <selection activeCell="I26" sqref="I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STAUNTON CUSD 6</v>
      </c>
      <c r="J6" s="2317"/>
      <c r="Q6" s="1664"/>
    </row>
    <row r="7" spans="1:17" x14ac:dyDescent="0.2">
      <c r="A7" s="2318" t="s">
        <v>869</v>
      </c>
      <c r="B7" s="2319"/>
      <c r="C7" s="2319"/>
      <c r="D7" s="2319"/>
      <c r="E7" s="2320"/>
      <c r="F7" s="1017"/>
      <c r="G7" s="1009"/>
      <c r="H7" s="1016" t="s">
        <v>372</v>
      </c>
      <c r="I7" s="2321">
        <f>COVER!A13</f>
        <v>40056006026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198300</v>
      </c>
      <c r="F12" s="1039"/>
      <c r="G12" s="1811">
        <f t="shared" ref="G12:G18" si="0">SUM(E12:F12)</f>
        <v>198300</v>
      </c>
      <c r="H12" s="1040">
        <v>200042</v>
      </c>
      <c r="I12" s="1039"/>
      <c r="J12" s="1811">
        <f t="shared" ref="J12:J18" si="1">SUM(H12:I12)</f>
        <v>200042</v>
      </c>
    </row>
    <row r="13" spans="1:17" ht="15" customHeight="1" x14ac:dyDescent="0.2">
      <c r="A13" s="1035">
        <v>2</v>
      </c>
      <c r="B13" s="1036" t="s">
        <v>42</v>
      </c>
      <c r="C13" s="1037"/>
      <c r="D13" s="1038">
        <v>2330</v>
      </c>
      <c r="E13" s="1811">
        <f>'Expenditures 15-22'!K51</f>
        <v>0</v>
      </c>
      <c r="F13" s="1039"/>
      <c r="G13" s="1811">
        <f t="shared" si="0"/>
        <v>0</v>
      </c>
      <c r="H13" s="1040">
        <v>603</v>
      </c>
      <c r="I13" s="1039"/>
      <c r="J13" s="1811">
        <f t="shared" si="1"/>
        <v>603</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198300</v>
      </c>
      <c r="F19" s="1813">
        <f t="shared" si="2"/>
        <v>0</v>
      </c>
      <c r="G19" s="1813">
        <f t="shared" si="2"/>
        <v>198300</v>
      </c>
      <c r="H19" s="1813">
        <f t="shared" si="2"/>
        <v>200645</v>
      </c>
      <c r="I19" s="1813">
        <f t="shared" si="2"/>
        <v>0</v>
      </c>
      <c r="J19" s="1813">
        <f t="shared" si="2"/>
        <v>200645</v>
      </c>
    </row>
    <row r="20" spans="1:10" ht="13.5" thickTop="1" x14ac:dyDescent="0.2">
      <c r="A20" s="1035">
        <v>9</v>
      </c>
      <c r="B20" s="2328" t="s">
        <v>1978</v>
      </c>
      <c r="C20" s="2328"/>
      <c r="D20" s="2329"/>
      <c r="E20" s="1046"/>
      <c r="F20" s="1046"/>
      <c r="G20" s="1046"/>
      <c r="H20" s="1046"/>
      <c r="I20" s="1046"/>
      <c r="J20" s="1814">
        <f>IF(AND(G19&gt;0,J19&gt;0),(((J19-G19)/G19)),"Enter Budget Data")</f>
        <v>1.1825516893595562E-2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1980</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C00000"/>
  </sheetPr>
  <dimension ref="A2:B65"/>
  <sheetViews>
    <sheetView showGridLines="0" zoomScale="110" zoomScaleNormal="110" workbookViewId="0">
      <selection activeCell="B10" sqref="B1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2085</v>
      </c>
    </row>
    <row r="6" spans="1:2" x14ac:dyDescent="0.2">
      <c r="A6" s="1068">
        <v>2</v>
      </c>
      <c r="B6" s="329" t="s">
        <v>2082</v>
      </c>
    </row>
    <row r="7" spans="1:2" x14ac:dyDescent="0.2">
      <c r="A7" s="1068">
        <v>3</v>
      </c>
      <c r="B7" s="329" t="s">
        <v>2086</v>
      </c>
    </row>
    <row r="8" spans="1:2" x14ac:dyDescent="0.2">
      <c r="A8" s="1068">
        <v>4</v>
      </c>
      <c r="B8" s="329" t="s">
        <v>2089</v>
      </c>
    </row>
    <row r="9" spans="1:2" x14ac:dyDescent="0.2">
      <c r="A9" s="1069">
        <v>5</v>
      </c>
      <c r="B9" s="329" t="s">
        <v>2090</v>
      </c>
    </row>
    <row r="10" spans="1:2" x14ac:dyDescent="0.2">
      <c r="A10" s="1069">
        <v>6</v>
      </c>
      <c r="B10" s="329" t="s">
        <v>2087</v>
      </c>
    </row>
    <row r="11" spans="1:2" x14ac:dyDescent="0.2">
      <c r="A11" s="1069">
        <v>7</v>
      </c>
      <c r="B11" s="329" t="s">
        <v>2088</v>
      </c>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STAUNTON CUSD 6</v>
      </c>
    </row>
    <row r="65" spans="2:2" x14ac:dyDescent="0.2">
      <c r="B65" s="1070">
        <f>COVER!A13</f>
        <v>40056006026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00000"/>
  </sheetPr>
  <dimension ref="A1:K143"/>
  <sheetViews>
    <sheetView showGridLines="0" defaultGridColor="0" topLeftCell="A74" colorId="8" zoomScale="110" zoomScaleNormal="110" workbookViewId="0">
      <selection activeCell="K91" sqref="K9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9" t="s">
        <v>1168</v>
      </c>
      <c r="B2" s="2049"/>
      <c r="C2" s="2049"/>
      <c r="D2" s="2049"/>
      <c r="E2" s="2049"/>
      <c r="F2" s="2049"/>
      <c r="G2" s="2049"/>
      <c r="H2" s="2049"/>
      <c r="I2" s="2049"/>
      <c r="J2" s="204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3" t="s">
        <v>1633</v>
      </c>
      <c r="B35" s="2064"/>
      <c r="C35" s="2064"/>
      <c r="D35" s="2064"/>
      <c r="E35" s="2065"/>
      <c r="F35" s="2065"/>
      <c r="G35" s="2065"/>
      <c r="H35" s="2065"/>
      <c r="I35" s="206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3" t="s">
        <v>313</v>
      </c>
      <c r="B47" s="2066"/>
      <c r="C47" s="2066"/>
      <c r="D47" s="2066"/>
      <c r="E47" s="2067"/>
      <c r="F47" s="2067"/>
      <c r="G47" s="2067"/>
      <c r="H47" s="2067"/>
      <c r="I47" s="206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35370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0"/>
      <c r="C57" s="2071"/>
      <c r="D57" s="2071"/>
      <c r="E57" s="2071"/>
      <c r="F57" s="2071"/>
      <c r="G57" s="2071"/>
      <c r="H57" s="2071"/>
      <c r="I57" s="2071"/>
      <c r="J57" s="2072"/>
    </row>
    <row r="58" spans="1:10" s="181" customFormat="1" x14ac:dyDescent="0.2">
      <c r="A58" s="253"/>
      <c r="B58" s="2073"/>
      <c r="C58" s="2074"/>
      <c r="D58" s="2074"/>
      <c r="E58" s="2074"/>
      <c r="F58" s="2074"/>
      <c r="G58" s="2074"/>
      <c r="H58" s="2074"/>
      <c r="I58" s="2074"/>
      <c r="J58" s="2075"/>
    </row>
    <row r="59" spans="1:10" s="181" customFormat="1" x14ac:dyDescent="0.2">
      <c r="A59" s="253"/>
      <c r="B59" s="2073"/>
      <c r="C59" s="2074"/>
      <c r="D59" s="2074"/>
      <c r="E59" s="2074"/>
      <c r="F59" s="2074"/>
      <c r="G59" s="2074"/>
      <c r="H59" s="2074"/>
      <c r="I59" s="2074"/>
      <c r="J59" s="2075"/>
    </row>
    <row r="60" spans="1:10" s="181" customFormat="1" x14ac:dyDescent="0.2">
      <c r="A60" s="253"/>
      <c r="B60" s="2073"/>
      <c r="C60" s="2074"/>
      <c r="D60" s="2074"/>
      <c r="E60" s="2074"/>
      <c r="F60" s="2074"/>
      <c r="G60" s="2074"/>
      <c r="H60" s="2074"/>
      <c r="I60" s="2074"/>
      <c r="J60" s="2075"/>
    </row>
    <row r="61" spans="1:10" s="181" customFormat="1" x14ac:dyDescent="0.2">
      <c r="A61" s="253"/>
      <c r="B61" s="2073"/>
      <c r="C61" s="2074"/>
      <c r="D61" s="2074"/>
      <c r="E61" s="2074"/>
      <c r="F61" s="2074"/>
      <c r="G61" s="2074"/>
      <c r="H61" s="2074"/>
      <c r="I61" s="2074"/>
      <c r="J61" s="2075"/>
    </row>
    <row r="62" spans="1:10" s="181" customFormat="1" x14ac:dyDescent="0.2">
      <c r="A62" s="253"/>
      <c r="B62" s="2073"/>
      <c r="C62" s="2074"/>
      <c r="D62" s="2074"/>
      <c r="E62" s="2074"/>
      <c r="F62" s="2074"/>
      <c r="G62" s="2074"/>
      <c r="H62" s="2074"/>
      <c r="I62" s="2074"/>
      <c r="J62" s="2075"/>
    </row>
    <row r="63" spans="1:10" s="181" customFormat="1" x14ac:dyDescent="0.2">
      <c r="A63" s="253"/>
      <c r="B63" s="2073"/>
      <c r="C63" s="2074"/>
      <c r="D63" s="2074"/>
      <c r="E63" s="2074"/>
      <c r="F63" s="2074"/>
      <c r="G63" s="2074"/>
      <c r="H63" s="2074"/>
      <c r="I63" s="2074"/>
      <c r="J63" s="2075"/>
    </row>
    <row r="64" spans="1:10" s="181" customFormat="1" x14ac:dyDescent="0.2">
      <c r="A64" s="253"/>
      <c r="B64" s="2073"/>
      <c r="C64" s="2074"/>
      <c r="D64" s="2074"/>
      <c r="E64" s="2074"/>
      <c r="F64" s="2074"/>
      <c r="G64" s="2074"/>
      <c r="H64" s="2074"/>
      <c r="I64" s="2074"/>
      <c r="J64" s="2075"/>
    </row>
    <row r="65" spans="1:10" s="181" customFormat="1" x14ac:dyDescent="0.2">
      <c r="A65" s="253"/>
      <c r="B65" s="2073"/>
      <c r="C65" s="2074"/>
      <c r="D65" s="2074"/>
      <c r="E65" s="2074"/>
      <c r="F65" s="2074"/>
      <c r="G65" s="2074"/>
      <c r="H65" s="2074"/>
      <c r="I65" s="2074"/>
      <c r="J65" s="2075"/>
    </row>
    <row r="66" spans="1:10" s="181" customFormat="1" x14ac:dyDescent="0.2">
      <c r="A66" s="253"/>
      <c r="B66" s="2073"/>
      <c r="C66" s="2074"/>
      <c r="D66" s="2074"/>
      <c r="E66" s="2074"/>
      <c r="F66" s="2074"/>
      <c r="G66" s="2074"/>
      <c r="H66" s="2074"/>
      <c r="I66" s="2074"/>
      <c r="J66" s="2075"/>
    </row>
    <row r="67" spans="1:10" s="181" customFormat="1" ht="9" customHeight="1" x14ac:dyDescent="0.2">
      <c r="A67" s="254"/>
      <c r="B67" s="2076"/>
      <c r="C67" s="2077"/>
      <c r="D67" s="2077"/>
      <c r="E67" s="2077"/>
      <c r="F67" s="2077"/>
      <c r="G67" s="2077"/>
      <c r="H67" s="2077"/>
      <c r="I67" s="2077"/>
      <c r="J67" s="207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3" t="s">
        <v>1323</v>
      </c>
      <c r="B70" s="2066"/>
      <c r="C70" s="2066"/>
      <c r="D70" s="2066"/>
      <c r="E70" s="2067"/>
      <c r="F70" s="2067"/>
      <c r="G70" s="2067"/>
      <c r="H70" s="2067"/>
      <c r="I70" s="206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8" t="s">
        <v>1320</v>
      </c>
      <c r="B83" s="2068"/>
      <c r="C83" s="2068"/>
      <c r="D83" s="206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0"/>
      <c r="C102" s="2051"/>
      <c r="D102" s="2051"/>
      <c r="E102" s="2051"/>
      <c r="F102" s="2051"/>
      <c r="G102" s="2051"/>
      <c r="H102" s="2051"/>
      <c r="I102" s="2052"/>
    </row>
    <row r="103" spans="1:9" s="181" customFormat="1" ht="11.25" customHeight="1" x14ac:dyDescent="0.2">
      <c r="A103" s="316"/>
      <c r="B103" s="2053"/>
      <c r="C103" s="2054"/>
      <c r="D103" s="2054"/>
      <c r="E103" s="2054"/>
      <c r="F103" s="2054"/>
      <c r="G103" s="2054"/>
      <c r="H103" s="2054"/>
      <c r="I103" s="2055"/>
    </row>
    <row r="104" spans="1:9" s="181" customFormat="1" ht="11.25" customHeight="1" x14ac:dyDescent="0.2">
      <c r="A104" s="316"/>
      <c r="B104" s="2053"/>
      <c r="C104" s="2054"/>
      <c r="D104" s="2054"/>
      <c r="E104" s="2054"/>
      <c r="F104" s="2054"/>
      <c r="G104" s="2054"/>
      <c r="H104" s="2054"/>
      <c r="I104" s="2055"/>
    </row>
    <row r="105" spans="1:9" s="181" customFormat="1" x14ac:dyDescent="0.2">
      <c r="A105" s="316"/>
      <c r="B105" s="2053"/>
      <c r="C105" s="2054"/>
      <c r="D105" s="2054"/>
      <c r="E105" s="2054"/>
      <c r="F105" s="2054"/>
      <c r="G105" s="2054"/>
      <c r="H105" s="2054"/>
      <c r="I105" s="2055"/>
    </row>
    <row r="106" spans="1:9" s="181" customFormat="1" ht="11.25" customHeight="1" x14ac:dyDescent="0.2">
      <c r="A106" s="316"/>
      <c r="B106" s="2053"/>
      <c r="C106" s="2054"/>
      <c r="D106" s="2054"/>
      <c r="E106" s="2054"/>
      <c r="F106" s="2054"/>
      <c r="G106" s="2054"/>
      <c r="H106" s="2054"/>
      <c r="I106" s="2055"/>
    </row>
    <row r="107" spans="1:9" s="181" customFormat="1" ht="11.25" customHeight="1" x14ac:dyDescent="0.2">
      <c r="A107" s="316"/>
      <c r="B107" s="2053"/>
      <c r="C107" s="2054"/>
      <c r="D107" s="2054"/>
      <c r="E107" s="2054"/>
      <c r="F107" s="2054"/>
      <c r="G107" s="2054"/>
      <c r="H107" s="2054"/>
      <c r="I107" s="2055"/>
    </row>
    <row r="108" spans="1:9" s="181" customFormat="1" ht="11.25" customHeight="1" x14ac:dyDescent="0.2">
      <c r="A108" s="316"/>
      <c r="B108" s="2053"/>
      <c r="C108" s="2054"/>
      <c r="D108" s="2054"/>
      <c r="E108" s="2054"/>
      <c r="F108" s="2054"/>
      <c r="G108" s="2054"/>
      <c r="H108" s="2054"/>
      <c r="I108" s="2055"/>
    </row>
    <row r="109" spans="1:9" s="181" customFormat="1" ht="11.25" customHeight="1" x14ac:dyDescent="0.2">
      <c r="A109" s="316"/>
      <c r="B109" s="2053"/>
      <c r="C109" s="2054"/>
      <c r="D109" s="2054"/>
      <c r="E109" s="2054"/>
      <c r="F109" s="2054"/>
      <c r="G109" s="2054"/>
      <c r="H109" s="2054"/>
      <c r="I109" s="2055"/>
    </row>
    <row r="110" spans="1:9" s="181" customFormat="1" ht="11.25" customHeight="1" x14ac:dyDescent="0.2">
      <c r="A110" s="316"/>
      <c r="B110" s="2053"/>
      <c r="C110" s="2054"/>
      <c r="D110" s="2054"/>
      <c r="E110" s="2054"/>
      <c r="F110" s="2054"/>
      <c r="G110" s="2054"/>
      <c r="H110" s="2054"/>
      <c r="I110" s="2055"/>
    </row>
    <row r="111" spans="1:9" s="181" customFormat="1" ht="11.25" customHeight="1" x14ac:dyDescent="0.2">
      <c r="A111" s="316"/>
      <c r="B111" s="2053"/>
      <c r="C111" s="2054"/>
      <c r="D111" s="2054"/>
      <c r="E111" s="2054"/>
      <c r="F111" s="2054"/>
      <c r="G111" s="2054"/>
      <c r="H111" s="2054"/>
      <c r="I111" s="2055"/>
    </row>
    <row r="112" spans="1:9" s="181" customFormat="1" ht="11.25" customHeight="1" x14ac:dyDescent="0.2">
      <c r="A112" s="316"/>
      <c r="B112" s="2056"/>
      <c r="C112" s="2057"/>
      <c r="D112" s="2057"/>
      <c r="E112" s="2057"/>
      <c r="F112" s="2057"/>
      <c r="G112" s="2057"/>
      <c r="H112" s="2057"/>
      <c r="I112" s="205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9" t="s">
        <v>2065</v>
      </c>
      <c r="D114" s="205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0" t="s">
        <v>1330</v>
      </c>
      <c r="D117" s="2061"/>
      <c r="E117" s="2062"/>
      <c r="F117" s="2062"/>
      <c r="G117" s="2062"/>
      <c r="H117" s="206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C00000"/>
  </sheetPr>
  <dimension ref="A1:D19"/>
  <sheetViews>
    <sheetView showGridLines="0" defaultGridColor="0" topLeftCell="A16"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M12" sqref="M12:M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333375</xdr:colOff>
                <xdr:row>3</xdr:row>
                <xdr:rowOff>47625</xdr:rowOff>
              </from>
              <to>
                <xdr:col>1</xdr:col>
                <xdr:colOff>1247775</xdr:colOff>
                <xdr:row>7</xdr:row>
                <xdr:rowOff>85725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C0000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1984</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1985</v>
      </c>
      <c r="B4" s="2356"/>
      <c r="C4" s="2356"/>
      <c r="D4" s="2356"/>
      <c r="E4" s="2356"/>
      <c r="F4" s="2357"/>
      <c r="G4" s="1074"/>
      <c r="H4" s="1074"/>
    </row>
    <row r="5" spans="1:8" ht="14.25" customHeight="1" x14ac:dyDescent="0.2">
      <c r="A5" s="2358" t="s">
        <v>1981</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8998494</v>
      </c>
      <c r="C8" s="1815">
        <f>'Acct Summary 7-8'!D8</f>
        <v>996408</v>
      </c>
      <c r="D8" s="1815">
        <f>'Acct Summary 7-8'!F8</f>
        <v>468625</v>
      </c>
      <c r="E8" s="1815">
        <f>'Acct Summary 7-8'!I8</f>
        <v>55662</v>
      </c>
      <c r="F8" s="1815">
        <f>SUM(B8:E8)</f>
        <v>10519189</v>
      </c>
    </row>
    <row r="9" spans="1:8" s="1079" customFormat="1" ht="14.25" customHeight="1" thickBot="1" x14ac:dyDescent="0.25">
      <c r="A9" s="1078" t="s">
        <v>1369</v>
      </c>
      <c r="B9" s="1816">
        <f>'Acct Summary 7-8'!C17</f>
        <v>8255611</v>
      </c>
      <c r="C9" s="1816">
        <f>'Acct Summary 7-8'!D17</f>
        <v>983652</v>
      </c>
      <c r="D9" s="1816">
        <f>'Acct Summary 7-8'!F17</f>
        <v>433795</v>
      </c>
      <c r="E9" s="1815"/>
      <c r="F9" s="1815">
        <f>SUM(B9:E9)</f>
        <v>9673058</v>
      </c>
    </row>
    <row r="10" spans="1:8" s="1079" customFormat="1" ht="14.25" thickTop="1" thickBot="1" x14ac:dyDescent="0.25">
      <c r="A10" s="1080" t="s">
        <v>1370</v>
      </c>
      <c r="B10" s="1817">
        <f>(B8-B9)</f>
        <v>742883</v>
      </c>
      <c r="C10" s="1817">
        <f>(C8-C9)</f>
        <v>12756</v>
      </c>
      <c r="D10" s="1817">
        <f>(D8-D9)</f>
        <v>34830</v>
      </c>
      <c r="E10" s="1816">
        <f>(E8-E9)</f>
        <v>55662</v>
      </c>
      <c r="F10" s="1818">
        <f>SUM(F8-F9)</f>
        <v>846131</v>
      </c>
    </row>
    <row r="11" spans="1:8" s="1079" customFormat="1" ht="14.25" thickTop="1" thickBot="1" x14ac:dyDescent="0.25">
      <c r="A11" s="1081" t="s">
        <v>1982</v>
      </c>
      <c r="B11" s="1819">
        <f>'Acct Summary 7-8'!C81</f>
        <v>1757815</v>
      </c>
      <c r="C11" s="1819">
        <f>'Acct Summary 7-8'!D81</f>
        <v>122781</v>
      </c>
      <c r="D11" s="1819">
        <f>'Acct Summary 7-8'!F81</f>
        <v>694788</v>
      </c>
      <c r="E11" s="1819">
        <f>'Acct Summary 7-8'!I81</f>
        <v>1307148</v>
      </c>
      <c r="F11" s="1820">
        <f>SUM(B11:E11)</f>
        <v>3882532</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2"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40056006026</v>
      </c>
    </row>
    <row r="3" spans="1:2" x14ac:dyDescent="0.2">
      <c r="A3" t="s">
        <v>956</v>
      </c>
      <c r="B3" s="138" t="str">
        <f>COVER!A15</f>
        <v>MACOUPIN</v>
      </c>
    </row>
    <row r="4" spans="1:2" x14ac:dyDescent="0.2">
      <c r="A4" t="s">
        <v>1007</v>
      </c>
      <c r="B4" s="138" t="str">
        <f>COVER!A17</f>
        <v>STAUNTON CUSD 6</v>
      </c>
    </row>
    <row r="5" spans="1:2" x14ac:dyDescent="0.2">
      <c r="A5" t="s">
        <v>704</v>
      </c>
      <c r="B5" s="138" t="str">
        <f>COVER!A38</f>
        <v>DAN COX</v>
      </c>
    </row>
    <row r="6" spans="1:2" x14ac:dyDescent="0.2">
      <c r="A6" t="s">
        <v>709</v>
      </c>
      <c r="B6" s="138">
        <f>COVER!P35</f>
        <v>0</v>
      </c>
    </row>
    <row r="7" spans="1:2" x14ac:dyDescent="0.2">
      <c r="A7" t="s">
        <v>705</v>
      </c>
      <c r="B7" s="138">
        <f>COVER!I38</f>
        <v>0</v>
      </c>
    </row>
    <row r="8" spans="1:2" x14ac:dyDescent="0.2">
      <c r="A8" t="s">
        <v>706</v>
      </c>
      <c r="B8" s="138" t="str">
        <f>COVER!T38</f>
        <v>MICHELLE MUELLER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060-003363</v>
      </c>
    </row>
    <row r="16" spans="1:2" x14ac:dyDescent="0.2">
      <c r="A16" t="s">
        <v>422</v>
      </c>
      <c r="B16" s="138" t="str">
        <f>COVER!T13</f>
        <v>LOY MILLER TALLEY, PC</v>
      </c>
    </row>
    <row r="17" spans="1:2" x14ac:dyDescent="0.2">
      <c r="A17" t="s">
        <v>884</v>
      </c>
      <c r="B17" s="138" t="str">
        <f>COVER!T15</f>
        <v>KENNETH E. LOY, CPA</v>
      </c>
    </row>
    <row r="18" spans="1:2" x14ac:dyDescent="0.2">
      <c r="A18" t="s">
        <v>1150</v>
      </c>
      <c r="B18" s="138" t="str">
        <f>COVER!T17</f>
        <v>#2 CROSSROADS CT</v>
      </c>
    </row>
    <row r="19" spans="1:2" x14ac:dyDescent="0.2">
      <c r="A19" t="s">
        <v>886</v>
      </c>
      <c r="B19" s="138" t="str">
        <f>COVER!T25</f>
        <v>KEN@LMTCPAS.COM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618-465-1196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35370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1757815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1757815</v>
      </c>
      <c r="D92" s="2" t="str">
        <f t="shared" si="0"/>
        <v>Error?</v>
      </c>
    </row>
    <row r="93" spans="1:4" x14ac:dyDescent="0.2">
      <c r="A93" s="5">
        <v>32</v>
      </c>
      <c r="B93" s="138">
        <f>'Assets-Liab 5-6'!C41</f>
        <v>1757815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122781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122781</v>
      </c>
      <c r="D123" s="2" t="str">
        <f t="shared" si="0"/>
        <v>Error?</v>
      </c>
    </row>
    <row r="124" spans="1:4" x14ac:dyDescent="0.2">
      <c r="A124" s="5">
        <v>63</v>
      </c>
      <c r="B124" s="138">
        <f>'Assets-Liab 5-6'!D41</f>
        <v>122781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319658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319658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694788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694788</v>
      </c>
      <c r="D170" s="2" t="str">
        <f t="shared" si="1"/>
        <v>Error?</v>
      </c>
    </row>
    <row r="171" spans="1:4" x14ac:dyDescent="0.2">
      <c r="A171" s="5">
        <v>110</v>
      </c>
      <c r="B171" s="138">
        <f>'Assets-Liab 5-6'!F41</f>
        <v>694788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27343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27343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306915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306915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223421</v>
      </c>
      <c r="D273" s="2" t="str">
        <f t="shared" si="3"/>
        <v>Error?</v>
      </c>
    </row>
    <row r="274" spans="1:4" x14ac:dyDescent="0.2">
      <c r="A274" s="5">
        <v>213</v>
      </c>
      <c r="B274" s="138">
        <f>'Assets-Liab 5-6'!M17</f>
        <v>13870948</v>
      </c>
      <c r="D274" s="2" t="str">
        <f t="shared" si="3"/>
        <v>Error?</v>
      </c>
    </row>
    <row r="275" spans="1:4" x14ac:dyDescent="0.2">
      <c r="A275" s="5">
        <v>214</v>
      </c>
      <c r="B275" s="138">
        <f>'Assets-Liab 5-6'!M18</f>
        <v>773280</v>
      </c>
      <c r="D275" s="2" t="str">
        <f t="shared" si="3"/>
        <v>Error?</v>
      </c>
    </row>
    <row r="276" spans="1:4" x14ac:dyDescent="0.2">
      <c r="A276" s="5">
        <v>215</v>
      </c>
      <c r="B276" s="138">
        <f>'Assets-Liab 5-6'!M19</f>
        <v>6970937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21838586</v>
      </c>
      <c r="C279" s="2" t="s">
        <v>573</v>
      </c>
      <c r="D279" s="2" t="str">
        <f t="shared" si="3"/>
        <v>Error?</v>
      </c>
    </row>
    <row r="280" spans="1:4" x14ac:dyDescent="0.2">
      <c r="A280" s="5">
        <v>219</v>
      </c>
      <c r="B280" s="138">
        <f>'Assets-Liab 5-6'!M40</f>
        <v>21838586</v>
      </c>
      <c r="D280" s="2" t="str">
        <f t="shared" si="3"/>
        <v>Error?</v>
      </c>
    </row>
    <row r="281" spans="1:4" x14ac:dyDescent="0.2">
      <c r="A281" s="5">
        <v>220</v>
      </c>
      <c r="B281" s="138">
        <f>'Assets-Liab 5-6'!M41</f>
        <v>21838586</v>
      </c>
      <c r="C281" s="2" t="s">
        <v>573</v>
      </c>
      <c r="D281" s="2" t="str">
        <f t="shared" si="3"/>
        <v>Error?</v>
      </c>
    </row>
    <row r="282" spans="1:4" x14ac:dyDescent="0.2">
      <c r="A282" s="5">
        <v>221</v>
      </c>
      <c r="B282" s="138">
        <f>'Assets-Liab 5-6'!N21</f>
        <v>319658</v>
      </c>
      <c r="D282" s="2" t="str">
        <f t="shared" si="3"/>
        <v>Error?</v>
      </c>
    </row>
    <row r="283" spans="1:4" x14ac:dyDescent="0.2">
      <c r="A283" s="5">
        <v>222</v>
      </c>
      <c r="B283" s="138">
        <f>'Assets-Liab 5-6'!N22</f>
        <v>3960342</v>
      </c>
      <c r="D283" s="2" t="str">
        <f t="shared" si="3"/>
        <v>Error?</v>
      </c>
    </row>
    <row r="284" spans="1:4" x14ac:dyDescent="0.2">
      <c r="A284" s="5">
        <v>223</v>
      </c>
      <c r="B284" s="138">
        <f>'Assets-Liab 5-6'!N23</f>
        <v>4280000</v>
      </c>
      <c r="C284" s="2" t="s">
        <v>573</v>
      </c>
      <c r="D284" s="2" t="str">
        <f t="shared" si="3"/>
        <v>Error?</v>
      </c>
    </row>
    <row r="285" spans="1:4" x14ac:dyDescent="0.2">
      <c r="A285" s="5">
        <v>224</v>
      </c>
      <c r="B285" s="138">
        <f>'Assets-Liab 5-6'!N36</f>
        <v>4280000</v>
      </c>
      <c r="D285" s="2" t="str">
        <f t="shared" si="3"/>
        <v>Error?</v>
      </c>
    </row>
    <row r="286" spans="1:4" x14ac:dyDescent="0.2">
      <c r="A286" s="10">
        <v>225</v>
      </c>
      <c r="D286" s="2" t="str">
        <f t="shared" si="3"/>
        <v>OK</v>
      </c>
    </row>
    <row r="287" spans="1:4" x14ac:dyDescent="0.2">
      <c r="A287" s="5">
        <v>226</v>
      </c>
      <c r="B287" s="138">
        <f>'Assets-Liab 5-6'!N37</f>
        <v>4280000</v>
      </c>
      <c r="C287" s="2" t="s">
        <v>573</v>
      </c>
      <c r="D287" s="2" t="str">
        <f t="shared" si="3"/>
        <v>Error?</v>
      </c>
    </row>
    <row r="288" spans="1:4" x14ac:dyDescent="0.2">
      <c r="A288" s="5">
        <v>227</v>
      </c>
      <c r="B288" s="138">
        <f>'Assets-Liab 5-6'!N41</f>
        <v>4280000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3433005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302701</v>
      </c>
      <c r="D717" s="2" t="str">
        <f t="shared" si="10"/>
        <v>Error?</v>
      </c>
    </row>
    <row r="718" spans="1:4" x14ac:dyDescent="0.2">
      <c r="A718" s="5">
        <v>657</v>
      </c>
      <c r="B718" s="138">
        <f>'Expenditures 15-22'!C14</f>
        <v>166162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4703976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127352</v>
      </c>
      <c r="D722" s="2" t="str">
        <f t="shared" si="10"/>
        <v>Error?</v>
      </c>
    </row>
    <row r="723" spans="1:4" x14ac:dyDescent="0.2">
      <c r="A723" s="5">
        <v>662</v>
      </c>
      <c r="B723" s="138">
        <f>'Expenditures 15-22'!C38</f>
        <v>33284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160636</v>
      </c>
      <c r="C727" s="2" t="s">
        <v>573</v>
      </c>
      <c r="D727" s="2" t="str">
        <f t="shared" si="10"/>
        <v>Error?</v>
      </c>
    </row>
    <row r="728" spans="1:4" x14ac:dyDescent="0.2">
      <c r="A728" s="5">
        <v>667</v>
      </c>
      <c r="B728" s="138">
        <f>'Expenditures 15-22'!C44</f>
        <v>5458</v>
      </c>
      <c r="D728" s="2" t="str">
        <f t="shared" si="10"/>
        <v>Error?</v>
      </c>
    </row>
    <row r="729" spans="1:4" x14ac:dyDescent="0.2">
      <c r="A729" s="5">
        <v>668</v>
      </c>
      <c r="B729" s="138">
        <f>'Expenditures 15-22'!C45</f>
        <v>14474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19932</v>
      </c>
      <c r="C731" s="2" t="s">
        <v>573</v>
      </c>
      <c r="D731" s="2" t="str">
        <f t="shared" si="10"/>
        <v>Error?</v>
      </c>
    </row>
    <row r="732" spans="1:4" x14ac:dyDescent="0.2">
      <c r="A732" s="5">
        <v>671</v>
      </c>
      <c r="B732" s="138">
        <f>'Expenditures 15-22'!C49</f>
        <v>2110</v>
      </c>
      <c r="D732" s="2" t="str">
        <f t="shared" si="10"/>
        <v>Error?</v>
      </c>
    </row>
    <row r="733" spans="1:4" x14ac:dyDescent="0.2">
      <c r="A733" s="5">
        <v>672</v>
      </c>
      <c r="B733" s="138">
        <f>'Expenditures 15-22'!C50</f>
        <v>153153</v>
      </c>
      <c r="D733" s="2" t="str">
        <f t="shared" si="10"/>
        <v>Error?</v>
      </c>
    </row>
    <row r="734" spans="1:4" x14ac:dyDescent="0.2">
      <c r="A734" s="5">
        <v>673</v>
      </c>
      <c r="B734" s="138">
        <f>'Expenditures 15-22'!C53</f>
        <v>155263</v>
      </c>
      <c r="C734" s="2" t="s">
        <v>573</v>
      </c>
      <c r="D734" s="2" t="str">
        <f t="shared" si="10"/>
        <v>Error?</v>
      </c>
    </row>
    <row r="735" spans="1:4" x14ac:dyDescent="0.2">
      <c r="A735" s="5">
        <v>674</v>
      </c>
      <c r="B735" s="138">
        <f>'Expenditures 15-22'!C55</f>
        <v>360610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360610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93395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76240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169635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84635</v>
      </c>
      <c r="D751" s="2" t="str">
        <f t="shared" si="10"/>
        <v>Error?</v>
      </c>
    </row>
    <row r="752" spans="1:4" x14ac:dyDescent="0.2">
      <c r="A752" s="10">
        <v>691</v>
      </c>
      <c r="D752" s="2" t="str">
        <f t="shared" si="10"/>
        <v>OK</v>
      </c>
    </row>
    <row r="753" spans="1:4" x14ac:dyDescent="0.2">
      <c r="A753" s="5">
        <v>692</v>
      </c>
      <c r="B753" s="138">
        <f>'Expenditures 15-22'!C72</f>
        <v>84635</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950711</v>
      </c>
      <c r="C755" s="2" t="s">
        <v>573</v>
      </c>
      <c r="D755" s="2" t="str">
        <f t="shared" si="10"/>
        <v>Error?</v>
      </c>
    </row>
    <row r="756" spans="1:4" x14ac:dyDescent="0.2">
      <c r="A756" s="5">
        <v>695</v>
      </c>
      <c r="B756" s="138">
        <f>'Expenditures 15-22'!C75</f>
        <v>23520</v>
      </c>
      <c r="D756" s="2" t="str">
        <f t="shared" si="10"/>
        <v>Error?</v>
      </c>
    </row>
    <row r="757" spans="1:4" x14ac:dyDescent="0.2">
      <c r="A757" s="5">
        <v>696</v>
      </c>
      <c r="B757" s="138">
        <f>'Expenditures 15-22'!C114</f>
        <v>5678207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608721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53516</v>
      </c>
      <c r="D775" s="2" t="str">
        <f t="shared" si="11"/>
        <v>Error?</v>
      </c>
    </row>
    <row r="776" spans="1:4" x14ac:dyDescent="0.2">
      <c r="A776" s="5">
        <v>715</v>
      </c>
      <c r="B776" s="138">
        <f>'Expenditures 15-22'!D14</f>
        <v>16292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783611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18192</v>
      </c>
      <c r="D780" s="2" t="str">
        <f t="shared" si="11"/>
        <v>Error?</v>
      </c>
    </row>
    <row r="781" spans="1:4" x14ac:dyDescent="0.2">
      <c r="A781" s="5">
        <v>720</v>
      </c>
      <c r="B781" s="138">
        <f>'Expenditures 15-22'!D38</f>
        <v>4649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22841</v>
      </c>
      <c r="C785" s="2" t="s">
        <v>573</v>
      </c>
      <c r="D785" s="2" t="str">
        <f t="shared" si="11"/>
        <v>Error?</v>
      </c>
    </row>
    <row r="786" spans="1:4" x14ac:dyDescent="0.2">
      <c r="A786" s="5">
        <v>725</v>
      </c>
      <c r="B786" s="138">
        <f>'Expenditures 15-22'!D44</f>
        <v>59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36211</v>
      </c>
      <c r="D791" s="2" t="str">
        <f t="shared" si="11"/>
        <v>Error?</v>
      </c>
    </row>
    <row r="792" spans="1:4" x14ac:dyDescent="0.2">
      <c r="A792" s="5">
        <v>731</v>
      </c>
      <c r="B792" s="138">
        <f>'Expenditures 15-22'!D53</f>
        <v>36211</v>
      </c>
      <c r="C792" s="2" t="s">
        <v>573</v>
      </c>
      <c r="D792" s="2" t="str">
        <f t="shared" si="11"/>
        <v>Error?</v>
      </c>
    </row>
    <row r="793" spans="1:4" x14ac:dyDescent="0.2">
      <c r="A793" s="5">
        <v>732</v>
      </c>
      <c r="B793" s="138">
        <f>'Expenditures 15-22'!D55</f>
        <v>66558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66558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4691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7737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12428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4649</v>
      </c>
      <c r="D809" s="2" t="str">
        <f t="shared" si="11"/>
        <v>Error?</v>
      </c>
    </row>
    <row r="810" spans="1:4" x14ac:dyDescent="0.2">
      <c r="A810" s="10">
        <v>749</v>
      </c>
      <c r="D810" s="2" t="str">
        <f t="shared" si="11"/>
        <v>OK</v>
      </c>
    </row>
    <row r="811" spans="1:4" x14ac:dyDescent="0.2">
      <c r="A811" s="5">
        <v>750</v>
      </c>
      <c r="B811" s="138">
        <f>'Expenditures 15-22'!D72</f>
        <v>4649</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142746</v>
      </c>
      <c r="C813" s="2" t="s">
        <v>573</v>
      </c>
      <c r="D813" s="2" t="str">
        <f t="shared" si="11"/>
        <v>Error?</v>
      </c>
    </row>
    <row r="814" spans="1:4" x14ac:dyDescent="0.2">
      <c r="A814" s="5">
        <v>753</v>
      </c>
      <c r="B814" s="138">
        <f>'Expenditures 15-22'!D75</f>
        <v>552</v>
      </c>
      <c r="D814" s="2" t="str">
        <f t="shared" si="11"/>
        <v>Error?</v>
      </c>
    </row>
    <row r="815" spans="1:4" x14ac:dyDescent="0.2">
      <c r="A815" s="5">
        <v>754</v>
      </c>
      <c r="B815" s="138">
        <f>'Expenditures 15-22'!D114</f>
        <v>926909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3846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4436</v>
      </c>
      <c r="D833" s="2" t="str">
        <f t="shared" si="12"/>
        <v>Error?</v>
      </c>
    </row>
    <row r="834" spans="1:4" x14ac:dyDescent="0.2">
      <c r="A834" s="5">
        <v>773</v>
      </c>
      <c r="B834" s="138">
        <f>'Expenditures 15-22'!E14</f>
        <v>42427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54022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11340</v>
      </c>
      <c r="D838" s="2" t="str">
        <f t="shared" si="12"/>
        <v>Error?</v>
      </c>
    </row>
    <row r="839" spans="1:4" x14ac:dyDescent="0.2">
      <c r="A839" s="5">
        <v>778</v>
      </c>
      <c r="B839" s="138">
        <f>'Expenditures 15-22'!E38</f>
        <v>339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11679</v>
      </c>
      <c r="C843" s="2" t="s">
        <v>573</v>
      </c>
      <c r="D843" s="2" t="str">
        <f t="shared" si="12"/>
        <v>Error?</v>
      </c>
    </row>
    <row r="844" spans="1:4" x14ac:dyDescent="0.2">
      <c r="A844" s="5">
        <v>783</v>
      </c>
      <c r="B844" s="138">
        <f>'Expenditures 15-22'!E44</f>
        <v>54437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42184</v>
      </c>
      <c r="D846" s="2" t="str">
        <f t="shared" si="12"/>
        <v>Error?</v>
      </c>
    </row>
    <row r="847" spans="1:4" x14ac:dyDescent="0.2">
      <c r="A847" s="5">
        <v>786</v>
      </c>
      <c r="B847" s="138">
        <f>'Expenditures 15-22'!E47</f>
        <v>96621</v>
      </c>
      <c r="C847" s="2" t="s">
        <v>573</v>
      </c>
      <c r="D847" s="2" t="str">
        <f t="shared" si="12"/>
        <v>Error?</v>
      </c>
    </row>
    <row r="848" spans="1:4" x14ac:dyDescent="0.2">
      <c r="A848" s="5">
        <v>787</v>
      </c>
      <c r="B848" s="138">
        <f>'Expenditures 15-22'!E49</f>
        <v>29652</v>
      </c>
      <c r="D848" s="2" t="str">
        <f t="shared" si="12"/>
        <v>Error?</v>
      </c>
    </row>
    <row r="849" spans="1:4" x14ac:dyDescent="0.2">
      <c r="A849" s="5">
        <v>788</v>
      </c>
      <c r="B849" s="138">
        <f>'Expenditures 15-22'!E50</f>
        <v>5116</v>
      </c>
      <c r="D849" s="2" t="str">
        <f t="shared" si="12"/>
        <v>Error?</v>
      </c>
    </row>
    <row r="850" spans="1:4" x14ac:dyDescent="0.2">
      <c r="A850" s="5">
        <v>789</v>
      </c>
      <c r="B850" s="138">
        <f>'Expenditures 15-22'!E53</f>
        <v>34768</v>
      </c>
      <c r="C850" s="2" t="s">
        <v>573</v>
      </c>
      <c r="D850" s="2" t="str">
        <f t="shared" si="12"/>
        <v>Error?</v>
      </c>
    </row>
    <row r="851" spans="1:4" x14ac:dyDescent="0.2">
      <c r="A851" s="5">
        <v>790</v>
      </c>
      <c r="B851" s="138">
        <f>'Expenditures 15-22'!E55</f>
        <v>6855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6855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55731</v>
      </c>
      <c r="D855" s="2" t="str">
        <f t="shared" si="12"/>
        <v>Error?</v>
      </c>
    </row>
    <row r="856" spans="1:4" x14ac:dyDescent="0.2">
      <c r="A856" s="5">
        <v>795</v>
      </c>
      <c r="B856" s="138">
        <f>'Expenditures 15-22'!E61</f>
        <v>7488</v>
      </c>
      <c r="D856" s="2" t="str">
        <f t="shared" si="12"/>
        <v>Error?</v>
      </c>
    </row>
    <row r="857" spans="1:4" x14ac:dyDescent="0.2">
      <c r="A857" s="5">
        <v>796</v>
      </c>
      <c r="B857" s="138">
        <f>'Expenditures 15-22'!E62</f>
        <v>4617</v>
      </c>
      <c r="D857" s="2" t="str">
        <f t="shared" si="12"/>
        <v>Error?</v>
      </c>
    </row>
    <row r="858" spans="1:4" x14ac:dyDescent="0.2">
      <c r="A858" s="5">
        <v>797</v>
      </c>
      <c r="B858" s="138">
        <f>'Expenditures 15-22'!E63</f>
        <v>219292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287128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63101</v>
      </c>
      <c r="D867" s="2" t="str">
        <f t="shared" si="12"/>
        <v>Error?</v>
      </c>
    </row>
    <row r="868" spans="1:4" x14ac:dyDescent="0.2">
      <c r="A868" s="10">
        <v>807</v>
      </c>
      <c r="D868" s="2" t="str">
        <f t="shared" si="12"/>
        <v>OK</v>
      </c>
    </row>
    <row r="869" spans="1:4" x14ac:dyDescent="0.2">
      <c r="A869" s="5">
        <v>808</v>
      </c>
      <c r="B869" s="138">
        <f>'Expenditures 15-22'!E72</f>
        <v>63101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500152</v>
      </c>
      <c r="C871" s="2" t="s">
        <v>573</v>
      </c>
      <c r="D871" s="2" t="str">
        <f t="shared" si="12"/>
        <v>Error?</v>
      </c>
    </row>
    <row r="872" spans="1:4" x14ac:dyDescent="0.2">
      <c r="A872" s="5">
        <v>811</v>
      </c>
      <c r="B872" s="138">
        <f>'Expenditures 15-22'!E75</f>
        <v>3445</v>
      </c>
      <c r="D872" s="2" t="str">
        <f t="shared" si="12"/>
        <v>Error?</v>
      </c>
    </row>
    <row r="873" spans="1:4" x14ac:dyDescent="0.2">
      <c r="A873" s="5">
        <v>812</v>
      </c>
      <c r="B873" s="138">
        <f>'Expenditures 15-22'!E114</f>
        <v>564582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85279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67829</v>
      </c>
      <c r="D891" s="2" t="str">
        <f t="shared" si="12"/>
        <v>Error?</v>
      </c>
    </row>
    <row r="892" spans="1:4" x14ac:dyDescent="0.2">
      <c r="A892" s="5">
        <v>831</v>
      </c>
      <c r="B892" s="138">
        <f>'Expenditures 15-22'!F14</f>
        <v>7964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205259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1282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1282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3217</v>
      </c>
      <c r="D903" s="2" t="str">
        <f t="shared" si="13"/>
        <v>Error?</v>
      </c>
    </row>
    <row r="904" spans="1:4" x14ac:dyDescent="0.2">
      <c r="A904" s="5">
        <v>843</v>
      </c>
      <c r="B904" s="138">
        <f>'Expenditures 15-22'!F46</f>
        <v>465</v>
      </c>
      <c r="D904" s="2" t="str">
        <f t="shared" si="13"/>
        <v>Error?</v>
      </c>
    </row>
    <row r="905" spans="1:4" x14ac:dyDescent="0.2">
      <c r="A905" s="5">
        <v>844</v>
      </c>
      <c r="B905" s="138">
        <f>'Expenditures 15-22'!F47</f>
        <v>3682</v>
      </c>
      <c r="C905" s="2" t="s">
        <v>573</v>
      </c>
      <c r="D905" s="2" t="str">
        <f t="shared" si="13"/>
        <v>Error?</v>
      </c>
    </row>
    <row r="906" spans="1:4" x14ac:dyDescent="0.2">
      <c r="A906" s="5">
        <v>845</v>
      </c>
      <c r="B906" s="138">
        <f>'Expenditures 15-22'!F49</f>
        <v>3022</v>
      </c>
      <c r="D906" s="2" t="str">
        <f t="shared" si="13"/>
        <v>Error?</v>
      </c>
    </row>
    <row r="907" spans="1:4" x14ac:dyDescent="0.2">
      <c r="A907" s="5">
        <v>846</v>
      </c>
      <c r="B907" s="138">
        <f>'Expenditures 15-22'!F50</f>
        <v>1504</v>
      </c>
      <c r="D907" s="2" t="str">
        <f t="shared" si="13"/>
        <v>Error?</v>
      </c>
    </row>
    <row r="908" spans="1:4" x14ac:dyDescent="0.2">
      <c r="A908" s="5">
        <v>847</v>
      </c>
      <c r="B908" s="138">
        <f>'Expenditures 15-22'!F53</f>
        <v>4526</v>
      </c>
      <c r="C908" s="2" t="s">
        <v>573</v>
      </c>
      <c r="D908" s="2" t="str">
        <f t="shared" si="13"/>
        <v>Error?</v>
      </c>
    </row>
    <row r="909" spans="1:4" x14ac:dyDescent="0.2">
      <c r="A909" s="5">
        <v>848</v>
      </c>
      <c r="B909" s="138">
        <f>'Expenditures 15-22'!F55</f>
        <v>1382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1382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25179</v>
      </c>
      <c r="D913" s="2" t="str">
        <f t="shared" si="13"/>
        <v>Error?</v>
      </c>
    </row>
    <row r="914" spans="1:4" x14ac:dyDescent="0.2">
      <c r="A914" s="5">
        <v>853</v>
      </c>
      <c r="B914" s="138">
        <f>'Expenditures 15-22'!F61</f>
        <v>4442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4749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34370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12425</v>
      </c>
      <c r="D925" s="2" t="str">
        <f t="shared" si="13"/>
        <v>Error?</v>
      </c>
    </row>
    <row r="926" spans="1:4" x14ac:dyDescent="0.2">
      <c r="A926" s="10">
        <v>865</v>
      </c>
      <c r="D926" s="2" t="str">
        <f t="shared" si="13"/>
        <v>OK</v>
      </c>
    </row>
    <row r="927" spans="1:4" x14ac:dyDescent="0.2">
      <c r="A927" s="5">
        <v>866</v>
      </c>
      <c r="B927" s="138">
        <f>'Expenditures 15-22'!F72</f>
        <v>12425</v>
      </c>
      <c r="C927" s="2" t="s">
        <v>573</v>
      </c>
      <c r="D927" s="2" t="str">
        <f t="shared" si="13"/>
        <v>Error?</v>
      </c>
    </row>
    <row r="928" spans="1:4" x14ac:dyDescent="0.2">
      <c r="A928" s="5">
        <v>867</v>
      </c>
      <c r="B928" s="138">
        <f>'Expenditures 15-22'!F73</f>
        <v>373</v>
      </c>
      <c r="D928" s="2" t="str">
        <f t="shared" si="13"/>
        <v>Error?</v>
      </c>
    </row>
    <row r="929" spans="1:4" x14ac:dyDescent="0.2">
      <c r="A929" s="5">
        <v>868</v>
      </c>
      <c r="B929" s="138">
        <f>'Expenditures 15-22'!F74</f>
        <v>58040</v>
      </c>
      <c r="C929" s="2" t="s">
        <v>573</v>
      </c>
      <c r="D929" s="2" t="str">
        <f t="shared" si="13"/>
        <v>Error?</v>
      </c>
    </row>
    <row r="930" spans="1:4" x14ac:dyDescent="0.2">
      <c r="A930" s="5">
        <v>869</v>
      </c>
      <c r="B930" s="138">
        <f>'Expenditures 15-22'!F75</f>
        <v>12367</v>
      </c>
      <c r="D930" s="2" t="str">
        <f t="shared" si="13"/>
        <v>Error?</v>
      </c>
    </row>
    <row r="931" spans="1:4" x14ac:dyDescent="0.2">
      <c r="A931" s="5">
        <v>870</v>
      </c>
      <c r="B931" s="138">
        <f>'Expenditures 15-22'!F114</f>
        <v>275666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7549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3558</v>
      </c>
      <c r="D949" s="2" t="str">
        <f t="shared" si="13"/>
        <v>Error?</v>
      </c>
    </row>
    <row r="950" spans="1:4" x14ac:dyDescent="0.2">
      <c r="A950" s="5">
        <v>889</v>
      </c>
      <c r="B950" s="138">
        <f>'Expenditures 15-22'!G14</f>
        <v>13457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24564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2243</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2243</v>
      </c>
      <c r="C959" s="2" t="s">
        <v>573</v>
      </c>
      <c r="D959" s="2" t="str">
        <f t="shared" ref="D959:D1022" si="14">IF(ISBLANK(B959),"OK",IF(A959-B959=0,"OK","Error?"))</f>
        <v>Error?</v>
      </c>
    </row>
    <row r="960" spans="1:4" x14ac:dyDescent="0.2">
      <c r="A960" s="5">
        <v>899</v>
      </c>
      <c r="B960" s="138">
        <f>'Expenditures 15-22'!G44</f>
        <v>2982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2982</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3773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3773</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6197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4398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10595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13091</v>
      </c>
      <c r="D983" s="2" t="str">
        <f t="shared" si="14"/>
        <v>Error?</v>
      </c>
    </row>
    <row r="984" spans="1:4" x14ac:dyDescent="0.2">
      <c r="A984" s="10">
        <v>923</v>
      </c>
      <c r="D984" s="2" t="str">
        <f t="shared" si="14"/>
        <v>OK</v>
      </c>
    </row>
    <row r="985" spans="1:4" x14ac:dyDescent="0.2">
      <c r="A985" s="5">
        <v>924</v>
      </c>
      <c r="B985" s="138">
        <f>'Expenditures 15-22'!G72</f>
        <v>13091</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32684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57248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3451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2594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6045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1032</v>
      </c>
      <c r="D1016" s="2" t="str">
        <f t="shared" si="14"/>
        <v>Error?</v>
      </c>
    </row>
    <row r="1017" spans="1:4" x14ac:dyDescent="0.2">
      <c r="A1017" s="5">
        <v>956</v>
      </c>
      <c r="B1017" s="138">
        <f>'Expenditures 15-22'!H42</f>
        <v>1032</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3101</v>
      </c>
      <c r="D1022" s="2" t="str">
        <f t="shared" si="14"/>
        <v>Error?</v>
      </c>
    </row>
    <row r="1023" spans="1:4" x14ac:dyDescent="0.2">
      <c r="A1023" s="5">
        <v>962</v>
      </c>
      <c r="B1023" s="138">
        <f>'Expenditures 15-22'!H50</f>
        <v>2316</v>
      </c>
      <c r="D1023" s="2" t="str">
        <f t="shared" ref="D1023:D1086" si="15">IF(ISBLANK(B1023),"OK",IF(A1023-B1023=0,"OK","Error?"))</f>
        <v>Error?</v>
      </c>
    </row>
    <row r="1024" spans="1:4" x14ac:dyDescent="0.2">
      <c r="A1024" s="5">
        <v>963</v>
      </c>
      <c r="B1024" s="138">
        <f>'Expenditures 15-22'!H53</f>
        <v>5417</v>
      </c>
      <c r="C1024" s="2" t="s">
        <v>573</v>
      </c>
      <c r="D1024" s="2" t="str">
        <f t="shared" si="15"/>
        <v>Error?</v>
      </c>
    </row>
    <row r="1025" spans="1:4" x14ac:dyDescent="0.2">
      <c r="A1025" s="5">
        <v>964</v>
      </c>
      <c r="B1025" s="138">
        <f>'Expenditures 15-22'!H55</f>
        <v>1159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1159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8474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8474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16082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730222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752349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4141851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432040</v>
      </c>
      <c r="C1105" s="2" t="s">
        <v>573</v>
      </c>
      <c r="D1105" s="2" t="str">
        <f t="shared" si="16"/>
        <v>Error?</v>
      </c>
    </row>
    <row r="1106" spans="1:4" x14ac:dyDescent="0.2">
      <c r="A1106" s="5">
        <v>1045</v>
      </c>
      <c r="B1106" s="138">
        <f>'Expenditures 15-22'!K14</f>
        <v>248896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5777477</v>
      </c>
      <c r="C1108" s="2" t="s">
        <v>573</v>
      </c>
      <c r="D1108" s="2" t="str">
        <f t="shared" si="16"/>
        <v>Error?</v>
      </c>
    </row>
    <row r="1109" spans="1:4" x14ac:dyDescent="0.2">
      <c r="A1109" s="5">
        <v>1048</v>
      </c>
      <c r="B1109" s="138">
        <f>'Expenditures 15-22'!K36</f>
        <v>650</v>
      </c>
      <c r="C1109" s="2" t="s">
        <v>573</v>
      </c>
      <c r="D1109" s="2" t="str">
        <f t="shared" si="16"/>
        <v>Error?</v>
      </c>
    </row>
    <row r="1110" spans="1:4" x14ac:dyDescent="0.2">
      <c r="A1110" s="5">
        <v>1049</v>
      </c>
      <c r="B1110" s="138">
        <f>'Expenditures 15-22'!K37</f>
        <v>156884</v>
      </c>
      <c r="C1110" s="2" t="s">
        <v>573</v>
      </c>
      <c r="D1110" s="2" t="str">
        <f t="shared" si="16"/>
        <v>Error?</v>
      </c>
    </row>
    <row r="1111" spans="1:4" x14ac:dyDescent="0.2">
      <c r="A1111" s="5">
        <v>1050</v>
      </c>
      <c r="B1111" s="138">
        <f>'Expenditures 15-22'!K38</f>
        <v>41797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1032</v>
      </c>
      <c r="C1114" s="2" t="s">
        <v>573</v>
      </c>
      <c r="D1114" s="2" t="str">
        <f t="shared" si="16"/>
        <v>Error?</v>
      </c>
    </row>
    <row r="1115" spans="1:4" x14ac:dyDescent="0.2">
      <c r="A1115" s="5">
        <v>1054</v>
      </c>
      <c r="B1115" s="138">
        <f>'Expenditures 15-22'!K42</f>
        <v>200363</v>
      </c>
      <c r="C1115" s="2" t="s">
        <v>573</v>
      </c>
      <c r="D1115" s="2" t="str">
        <f t="shared" si="16"/>
        <v>Error?</v>
      </c>
    </row>
    <row r="1116" spans="1:4" x14ac:dyDescent="0.2">
      <c r="A1116" s="5">
        <v>1055</v>
      </c>
      <c r="B1116" s="138">
        <f>'Expenditures 15-22'!K44</f>
        <v>62936</v>
      </c>
      <c r="C1116" s="2" t="s">
        <v>573</v>
      </c>
      <c r="D1116" s="2" t="str">
        <f t="shared" si="16"/>
        <v>Error?</v>
      </c>
    </row>
    <row r="1117" spans="1:4" x14ac:dyDescent="0.2">
      <c r="A1117" s="5">
        <v>1056</v>
      </c>
      <c r="B1117" s="138">
        <f>'Expenditures 15-22'!K45</f>
        <v>17691</v>
      </c>
      <c r="C1117" s="2" t="s">
        <v>573</v>
      </c>
      <c r="D1117" s="2" t="str">
        <f t="shared" si="16"/>
        <v>Error?</v>
      </c>
    </row>
    <row r="1118" spans="1:4" x14ac:dyDescent="0.2">
      <c r="A1118" s="5">
        <v>1057</v>
      </c>
      <c r="B1118" s="138">
        <f>'Expenditures 15-22'!K46</f>
        <v>42649</v>
      </c>
      <c r="C1118" s="2" t="s">
        <v>573</v>
      </c>
      <c r="D1118" s="2" t="str">
        <f t="shared" si="16"/>
        <v>Error?</v>
      </c>
    </row>
    <row r="1119" spans="1:4" x14ac:dyDescent="0.2">
      <c r="A1119" s="5">
        <v>1058</v>
      </c>
      <c r="B1119" s="138">
        <f>'Expenditures 15-22'!K47</f>
        <v>123276</v>
      </c>
      <c r="C1119" s="2" t="s">
        <v>573</v>
      </c>
      <c r="D1119" s="2" t="str">
        <f t="shared" si="16"/>
        <v>Error?</v>
      </c>
    </row>
    <row r="1120" spans="1:4" x14ac:dyDescent="0.2">
      <c r="A1120" s="5">
        <v>1059</v>
      </c>
      <c r="B1120" s="138">
        <f>'Expenditures 15-22'!K49</f>
        <v>37885</v>
      </c>
      <c r="C1120" s="2" t="s">
        <v>573</v>
      </c>
      <c r="D1120" s="2" t="str">
        <f t="shared" si="16"/>
        <v>Error?</v>
      </c>
    </row>
    <row r="1121" spans="1:4" x14ac:dyDescent="0.2">
      <c r="A1121" s="5">
        <v>1060</v>
      </c>
      <c r="B1121" s="138">
        <f>'Expenditures 15-22'!K50</f>
        <v>198300</v>
      </c>
      <c r="C1121" s="2" t="s">
        <v>573</v>
      </c>
      <c r="D1121" s="2" t="str">
        <f t="shared" si="16"/>
        <v>Error?</v>
      </c>
    </row>
    <row r="1122" spans="1:4" x14ac:dyDescent="0.2">
      <c r="A1122" s="5">
        <v>1061</v>
      </c>
      <c r="B1122" s="138">
        <f>'Expenditures 15-22'!K53</f>
        <v>236185</v>
      </c>
      <c r="C1122" s="2" t="s">
        <v>573</v>
      </c>
      <c r="D1122" s="2" t="str">
        <f t="shared" si="16"/>
        <v>Error?</v>
      </c>
    </row>
    <row r="1123" spans="1:4" x14ac:dyDescent="0.2">
      <c r="A1123" s="5">
        <v>1062</v>
      </c>
      <c r="B1123" s="138">
        <f>'Expenditures 15-22'!K55</f>
        <v>440337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440337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187470</v>
      </c>
      <c r="C1127" s="2" t="s">
        <v>573</v>
      </c>
      <c r="D1127" s="2" t="str">
        <f t="shared" si="16"/>
        <v>Error?</v>
      </c>
    </row>
    <row r="1128" spans="1:4" x14ac:dyDescent="0.2">
      <c r="A1128" s="5">
        <v>1067</v>
      </c>
      <c r="B1128" s="138">
        <f>'Expenditures 15-22'!K61</f>
        <v>18127</v>
      </c>
      <c r="C1128" s="2" t="s">
        <v>573</v>
      </c>
      <c r="D1128" s="2" t="str">
        <f t="shared" si="16"/>
        <v>Error?</v>
      </c>
    </row>
    <row r="1129" spans="1:4" x14ac:dyDescent="0.2">
      <c r="A1129" s="5">
        <v>1068</v>
      </c>
      <c r="B1129" s="138">
        <f>'Expenditures 15-22'!K62</f>
        <v>4617</v>
      </c>
      <c r="C1129" s="2" t="s">
        <v>573</v>
      </c>
      <c r="D1129" s="2" t="str">
        <f t="shared" si="16"/>
        <v>Error?</v>
      </c>
    </row>
    <row r="1130" spans="1:4" x14ac:dyDescent="0.2">
      <c r="A1130" s="5">
        <v>1069</v>
      </c>
      <c r="B1130" s="138">
        <f>'Expenditures 15-22'!K63</f>
        <v>312416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522630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177901</v>
      </c>
      <c r="C1139" s="2" t="s">
        <v>573</v>
      </c>
      <c r="D1139" s="2" t="str">
        <f t="shared" si="16"/>
        <v>Error?</v>
      </c>
    </row>
    <row r="1140" spans="1:4" x14ac:dyDescent="0.2">
      <c r="A1140" s="10">
        <v>1079</v>
      </c>
      <c r="D1140" s="2" t="str">
        <f t="shared" si="16"/>
        <v>OK</v>
      </c>
    </row>
    <row r="1141" spans="1:4" x14ac:dyDescent="0.2">
      <c r="A1141" s="5">
        <v>1080</v>
      </c>
      <c r="B1141" s="138">
        <f>'Expenditures 15-22'!K72</f>
        <v>177901</v>
      </c>
      <c r="C1141" s="2" t="s">
        <v>573</v>
      </c>
      <c r="D1141" s="2" t="str">
        <f t="shared" si="16"/>
        <v>Error?</v>
      </c>
    </row>
    <row r="1142" spans="1:4" x14ac:dyDescent="0.2">
      <c r="A1142" s="5">
        <v>1081</v>
      </c>
      <c r="B1142" s="138">
        <f>'Expenditures 15-22'!K73</f>
        <v>373</v>
      </c>
      <c r="C1142" s="2" t="s">
        <v>573</v>
      </c>
      <c r="D1142" s="2" t="str">
        <f t="shared" si="16"/>
        <v>Error?</v>
      </c>
    </row>
    <row r="1143" spans="1:4" x14ac:dyDescent="0.2">
      <c r="A1143" s="5">
        <v>1082</v>
      </c>
      <c r="B1143" s="138">
        <f>'Expenditures 15-22'!K74</f>
        <v>1701065</v>
      </c>
      <c r="C1143" s="2" t="s">
        <v>573</v>
      </c>
      <c r="D1143" s="2" t="str">
        <f t="shared" si="16"/>
        <v>Error?</v>
      </c>
    </row>
    <row r="1144" spans="1:4" x14ac:dyDescent="0.2">
      <c r="A1144" s="5">
        <v>1083</v>
      </c>
      <c r="B1144" s="138">
        <f>'Expenditures 15-22'!K75</f>
        <v>39884</v>
      </c>
      <c r="C1144" s="2" t="s">
        <v>573</v>
      </c>
      <c r="D1144" s="2" t="str">
        <f t="shared" si="16"/>
        <v>Error?</v>
      </c>
    </row>
    <row r="1145" spans="1:4" x14ac:dyDescent="0.2">
      <c r="A1145" s="5">
        <v>1084</v>
      </c>
      <c r="B1145" s="138">
        <f>'Expenditures 15-22'!K102</f>
        <v>737185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8255611</v>
      </c>
      <c r="C1152" s="2" t="s">
        <v>573</v>
      </c>
      <c r="D1152" s="2" t="str">
        <f t="shared" si="17"/>
        <v>Error?</v>
      </c>
    </row>
    <row r="1153" spans="1:4" x14ac:dyDescent="0.2">
      <c r="A1153" s="5">
        <v>1092</v>
      </c>
      <c r="B1153" s="138">
        <f>'Expenditures 15-22'!K115</f>
        <v>742883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308036</v>
      </c>
      <c r="D1221" s="2" t="str">
        <f t="shared" si="18"/>
        <v>Error?</v>
      </c>
    </row>
    <row r="1222" spans="1:4" x14ac:dyDescent="0.2">
      <c r="A1222" s="10">
        <v>1161</v>
      </c>
      <c r="D1222" s="2" t="str">
        <f t="shared" si="18"/>
        <v>OK</v>
      </c>
    </row>
    <row r="1223" spans="1:4" x14ac:dyDescent="0.2">
      <c r="A1223" s="5">
        <v>1162</v>
      </c>
      <c r="B1223" s="138">
        <f>'Expenditures 15-22'!C127</f>
        <v>308036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308036</v>
      </c>
      <c r="C1225" s="2" t="s">
        <v>573</v>
      </c>
      <c r="D1225" s="2" t="str">
        <f t="shared" si="18"/>
        <v>Error?</v>
      </c>
    </row>
    <row r="1226" spans="1:4" x14ac:dyDescent="0.2">
      <c r="A1226" s="5">
        <v>1165</v>
      </c>
      <c r="B1226" s="138">
        <f>'Expenditures 15-22'!C151</f>
        <v>308036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35087</v>
      </c>
      <c r="D1229" s="2" t="str">
        <f t="shared" si="18"/>
        <v>Error?</v>
      </c>
    </row>
    <row r="1230" spans="1:4" x14ac:dyDescent="0.2">
      <c r="A1230" s="10">
        <v>1169</v>
      </c>
      <c r="D1230" s="2" t="str">
        <f t="shared" si="18"/>
        <v>OK</v>
      </c>
    </row>
    <row r="1231" spans="1:4" x14ac:dyDescent="0.2">
      <c r="A1231" s="5">
        <v>1170</v>
      </c>
      <c r="B1231" s="138">
        <f>'Expenditures 15-22'!D127</f>
        <v>35087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35087</v>
      </c>
      <c r="C1233" s="2" t="s">
        <v>573</v>
      </c>
      <c r="D1233" s="2" t="str">
        <f t="shared" si="18"/>
        <v>Error?</v>
      </c>
    </row>
    <row r="1234" spans="1:4" x14ac:dyDescent="0.2">
      <c r="A1234" s="5">
        <v>1173</v>
      </c>
      <c r="B1234" s="138">
        <f>'Expenditures 15-22'!D151</f>
        <v>35087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127450</v>
      </c>
      <c r="D1237" s="2" t="str">
        <f t="shared" si="18"/>
        <v>Error?</v>
      </c>
    </row>
    <row r="1238" spans="1:4" x14ac:dyDescent="0.2">
      <c r="A1238" s="10">
        <v>1177</v>
      </c>
      <c r="D1238" s="2" t="str">
        <f t="shared" si="18"/>
        <v>OK</v>
      </c>
    </row>
    <row r="1239" spans="1:4" x14ac:dyDescent="0.2">
      <c r="A1239" s="5">
        <v>1178</v>
      </c>
      <c r="B1239" s="138">
        <f>'Expenditures 15-22'!E127</f>
        <v>127450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127450</v>
      </c>
      <c r="C1241" s="2" t="s">
        <v>573</v>
      </c>
      <c r="D1241" s="2" t="str">
        <f t="shared" si="18"/>
        <v>Error?</v>
      </c>
    </row>
    <row r="1242" spans="1:4" x14ac:dyDescent="0.2">
      <c r="A1242" s="5">
        <v>1181</v>
      </c>
      <c r="B1242" s="138">
        <f>'Expenditures 15-22'!E151</f>
        <v>127450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245339</v>
      </c>
      <c r="D1245" s="2" t="str">
        <f t="shared" si="18"/>
        <v>Error?</v>
      </c>
    </row>
    <row r="1246" spans="1:4" x14ac:dyDescent="0.2">
      <c r="A1246" s="10">
        <v>1185</v>
      </c>
      <c r="D1246" s="2" t="str">
        <f t="shared" si="18"/>
        <v>OK</v>
      </c>
    </row>
    <row r="1247" spans="1:4" x14ac:dyDescent="0.2">
      <c r="A1247" s="5">
        <v>1186</v>
      </c>
      <c r="B1247" s="138">
        <f>'Expenditures 15-22'!F127</f>
        <v>245339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245339</v>
      </c>
      <c r="C1249" s="2" t="s">
        <v>573</v>
      </c>
      <c r="D1249" s="2" t="str">
        <f t="shared" si="18"/>
        <v>Error?</v>
      </c>
    </row>
    <row r="1250" spans="1:4" x14ac:dyDescent="0.2">
      <c r="A1250" s="5">
        <v>1189</v>
      </c>
      <c r="B1250" s="138">
        <f>'Expenditures 15-22'!F151</f>
        <v>245339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267740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267740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267740</v>
      </c>
      <c r="C1258" s="2" t="s">
        <v>573</v>
      </c>
      <c r="D1258" s="2" t="str">
        <f t="shared" si="18"/>
        <v>Error?</v>
      </c>
    </row>
    <row r="1259" spans="1:4" x14ac:dyDescent="0.2">
      <c r="A1259" s="5">
        <v>1198</v>
      </c>
      <c r="B1259" s="138">
        <f>'Expenditures 15-22'!G151</f>
        <v>267740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983652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983652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983652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983652</v>
      </c>
      <c r="C1288" s="2" t="s">
        <v>573</v>
      </c>
      <c r="D1288" s="2" t="str">
        <f t="shared" si="19"/>
        <v>Error?</v>
      </c>
    </row>
    <row r="1289" spans="1:4" x14ac:dyDescent="0.2">
      <c r="A1289" s="5">
        <v>1228</v>
      </c>
      <c r="B1289" s="138">
        <f>'Expenditures 15-22'!K152</f>
        <v>12756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157896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175000</v>
      </c>
      <c r="D1315" s="2" t="str">
        <f t="shared" si="19"/>
        <v>Error?</v>
      </c>
    </row>
    <row r="1316" spans="1:4" x14ac:dyDescent="0.2">
      <c r="A1316" s="5">
        <v>1255</v>
      </c>
      <c r="B1316" s="138">
        <f>'Expenditures 15-22'!H171</f>
        <v>1100</v>
      </c>
      <c r="D1316" s="2" t="str">
        <f t="shared" si="19"/>
        <v>Error?</v>
      </c>
    </row>
    <row r="1317" spans="1:4" x14ac:dyDescent="0.2">
      <c r="A1317" s="5">
        <v>1256</v>
      </c>
      <c r="B1317" s="138">
        <f>'Expenditures 15-22'!H172</f>
        <v>333996</v>
      </c>
      <c r="C1317" s="2" t="s">
        <v>573</v>
      </c>
      <c r="D1317" s="2" t="str">
        <f t="shared" si="19"/>
        <v>Error?</v>
      </c>
    </row>
    <row r="1318" spans="1:4" x14ac:dyDescent="0.2">
      <c r="A1318" s="5">
        <v>1257</v>
      </c>
      <c r="B1318" s="138">
        <f>'Expenditures 15-22'!H174</f>
        <v>333996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157896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175000</v>
      </c>
      <c r="C1329" s="2" t="s">
        <v>573</v>
      </c>
      <c r="D1329" s="2" t="str">
        <f t="shared" si="19"/>
        <v>Error?</v>
      </c>
    </row>
    <row r="1330" spans="1:4" x14ac:dyDescent="0.2">
      <c r="A1330" s="5">
        <v>1269</v>
      </c>
      <c r="B1330" s="138">
        <f>'Expenditures 15-22'!K171</f>
        <v>1100</v>
      </c>
      <c r="C1330" s="2" t="s">
        <v>573</v>
      </c>
      <c r="D1330" s="2" t="str">
        <f t="shared" si="19"/>
        <v>Error?</v>
      </c>
    </row>
    <row r="1331" spans="1:4" x14ac:dyDescent="0.2">
      <c r="A1331" s="5">
        <v>1270</v>
      </c>
      <c r="B1331" s="138">
        <f>'Expenditures 15-22'!K172</f>
        <v>333996</v>
      </c>
      <c r="C1331" s="2" t="s">
        <v>573</v>
      </c>
      <c r="D1331" s="2" t="str">
        <f t="shared" si="19"/>
        <v>Error?</v>
      </c>
    </row>
    <row r="1332" spans="1:4" x14ac:dyDescent="0.2">
      <c r="A1332" s="5">
        <v>1271</v>
      </c>
      <c r="B1332" s="138">
        <f>'Expenditures 15-22'!K174</f>
        <v>333996</v>
      </c>
      <c r="C1332" s="2" t="s">
        <v>573</v>
      </c>
      <c r="D1332" s="2" t="str">
        <f t="shared" si="19"/>
        <v>Error?</v>
      </c>
    </row>
    <row r="1333" spans="1:4" x14ac:dyDescent="0.2">
      <c r="A1333" s="5">
        <v>1272</v>
      </c>
      <c r="B1333" s="138">
        <f>'Expenditures 15-22'!K175</f>
        <v>92132</v>
      </c>
      <c r="C1333" s="2" t="s">
        <v>573</v>
      </c>
      <c r="D1333" s="2" t="str">
        <f t="shared" si="19"/>
        <v>Error?</v>
      </c>
    </row>
    <row r="1334" spans="1:4" x14ac:dyDescent="0.2">
      <c r="A1334" s="10">
        <v>1273</v>
      </c>
      <c r="D1334" s="2" t="str">
        <f t="shared" si="19"/>
        <v>OK</v>
      </c>
    </row>
    <row r="1335" spans="1:4" x14ac:dyDescent="0.2">
      <c r="A1335" s="5">
        <v>1274</v>
      </c>
      <c r="B1335" s="138">
        <f>'Expenditures 15-22'!C182</f>
        <v>244380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244380</v>
      </c>
      <c r="C1339" s="2" t="s">
        <v>573</v>
      </c>
      <c r="D1339" s="2" t="str">
        <f t="shared" si="19"/>
        <v>Error?</v>
      </c>
    </row>
    <row r="1340" spans="1:4" x14ac:dyDescent="0.2">
      <c r="A1340" s="5">
        <v>1279</v>
      </c>
      <c r="B1340" s="138">
        <f>'Expenditures 15-22'!C210</f>
        <v>244380</v>
      </c>
      <c r="C1340" s="2" t="s">
        <v>573</v>
      </c>
      <c r="D1340" s="2" t="str">
        <f t="shared" si="19"/>
        <v>Error?</v>
      </c>
    </row>
    <row r="1341" spans="1:4" x14ac:dyDescent="0.2">
      <c r="A1341" s="5">
        <v>1280</v>
      </c>
      <c r="B1341" s="138">
        <f>'Expenditures 15-22'!D182</f>
        <v>11582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11582</v>
      </c>
      <c r="C1345" s="2" t="s">
        <v>573</v>
      </c>
      <c r="D1345" s="2" t="str">
        <f t="shared" si="20"/>
        <v>Error?</v>
      </c>
    </row>
    <row r="1346" spans="1:4" x14ac:dyDescent="0.2">
      <c r="A1346" s="5">
        <v>1285</v>
      </c>
      <c r="B1346" s="138">
        <f>'Expenditures 15-22'!D210</f>
        <v>11582</v>
      </c>
      <c r="C1346" s="2" t="s">
        <v>573</v>
      </c>
      <c r="D1346" s="2" t="str">
        <f t="shared" si="20"/>
        <v>Error?</v>
      </c>
    </row>
    <row r="1347" spans="1:4" x14ac:dyDescent="0.2">
      <c r="A1347" s="5">
        <v>1286</v>
      </c>
      <c r="B1347" s="138">
        <f>'Expenditures 15-22'!E182</f>
        <v>59539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59539</v>
      </c>
      <c r="C1351" s="2" t="s">
        <v>573</v>
      </c>
      <c r="D1351" s="2" t="str">
        <f t="shared" si="20"/>
        <v>Error?</v>
      </c>
    </row>
    <row r="1352" spans="1:4" x14ac:dyDescent="0.2">
      <c r="A1352" s="5">
        <v>1291</v>
      </c>
      <c r="B1352" s="138">
        <f>'Expenditures 15-22'!E196</f>
        <v>1035</v>
      </c>
      <c r="C1352" s="2" t="s">
        <v>573</v>
      </c>
      <c r="D1352" s="2" t="str">
        <f t="shared" si="20"/>
        <v>Error?</v>
      </c>
    </row>
    <row r="1353" spans="1:4" x14ac:dyDescent="0.2">
      <c r="A1353" s="5">
        <v>1292</v>
      </c>
      <c r="B1353" s="138">
        <f>'Expenditures 15-22'!E210</f>
        <v>60574</v>
      </c>
      <c r="C1353" s="2" t="s">
        <v>573</v>
      </c>
      <c r="D1353" s="2" t="str">
        <f t="shared" si="20"/>
        <v>Error?</v>
      </c>
    </row>
    <row r="1354" spans="1:4" x14ac:dyDescent="0.2">
      <c r="A1354" s="5">
        <v>1293</v>
      </c>
      <c r="B1354" s="138">
        <f>'Expenditures 15-22'!F182</f>
        <v>64514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64514</v>
      </c>
      <c r="C1358" s="2" t="s">
        <v>573</v>
      </c>
      <c r="D1358" s="2" t="str">
        <f t="shared" si="20"/>
        <v>Error?</v>
      </c>
    </row>
    <row r="1359" spans="1:4" x14ac:dyDescent="0.2">
      <c r="A1359" s="5">
        <v>1298</v>
      </c>
      <c r="B1359" s="138">
        <f>'Expenditures 15-22'!F210</f>
        <v>64514</v>
      </c>
      <c r="C1359" s="2" t="s">
        <v>573</v>
      </c>
      <c r="D1359" s="2" t="str">
        <f t="shared" si="20"/>
        <v>Error?</v>
      </c>
    </row>
    <row r="1360" spans="1:4" x14ac:dyDescent="0.2">
      <c r="A1360" s="5">
        <v>1299</v>
      </c>
      <c r="B1360" s="138">
        <f>'Expenditures 15-22'!G182</f>
        <v>52745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52745</v>
      </c>
      <c r="C1364" s="2" t="s">
        <v>573</v>
      </c>
      <c r="D1364" s="2" t="str">
        <f t="shared" si="20"/>
        <v>Error?</v>
      </c>
    </row>
    <row r="1365" spans="1:4" x14ac:dyDescent="0.2">
      <c r="A1365" s="5">
        <v>1304</v>
      </c>
      <c r="B1365" s="138">
        <f>'Expenditures 15-22'!G210</f>
        <v>52745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432760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432760</v>
      </c>
      <c r="C1381" s="2" t="s">
        <v>573</v>
      </c>
      <c r="D1381" s="2" t="str">
        <f t="shared" si="20"/>
        <v>Error?</v>
      </c>
    </row>
    <row r="1382" spans="1:4" x14ac:dyDescent="0.2">
      <c r="A1382" s="5">
        <v>1321</v>
      </c>
      <c r="B1382" s="138">
        <f>'Expenditures 15-22'!K196</f>
        <v>1035</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433795</v>
      </c>
      <c r="C1388" s="2" t="s">
        <v>573</v>
      </c>
      <c r="D1388" s="2" t="str">
        <f t="shared" si="20"/>
        <v>Error?</v>
      </c>
    </row>
    <row r="1389" spans="1:4" x14ac:dyDescent="0.2">
      <c r="A1389" s="5">
        <v>1328</v>
      </c>
      <c r="B1389" s="138">
        <f>'Expenditures 15-22'!K211</f>
        <v>34830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4054</v>
      </c>
      <c r="D1407" s="2" t="str">
        <f t="shared" ref="D1407:D1470" si="21">IF(ISBLANK(B1407),"OK",IF(A1407-B1407=0,"OK","Error?"))</f>
        <v>Error?</v>
      </c>
    </row>
    <row r="1408" spans="1:4" x14ac:dyDescent="0.2">
      <c r="A1408" s="5">
        <v>1347</v>
      </c>
      <c r="B1408" s="138">
        <f>'Expenditures 15-22'!D223</f>
        <v>4419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111189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1615</v>
      </c>
      <c r="D1412" s="2" t="str">
        <f t="shared" si="21"/>
        <v>Error?</v>
      </c>
    </row>
    <row r="1413" spans="1:4" x14ac:dyDescent="0.2">
      <c r="A1413" s="5">
        <v>1352</v>
      </c>
      <c r="B1413" s="138">
        <f>'Expenditures 15-22'!D234</f>
        <v>5278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6893</v>
      </c>
      <c r="C1417" s="2" t="s">
        <v>573</v>
      </c>
      <c r="D1417" s="2" t="str">
        <f t="shared" si="21"/>
        <v>Error?</v>
      </c>
    </row>
    <row r="1418" spans="1:4" x14ac:dyDescent="0.2">
      <c r="A1418" s="5">
        <v>1357</v>
      </c>
      <c r="B1418" s="138">
        <f>'Expenditures 15-22'!D240</f>
        <v>41</v>
      </c>
      <c r="D1418" s="2" t="str">
        <f t="shared" si="21"/>
        <v>Error?</v>
      </c>
    </row>
    <row r="1419" spans="1:4" x14ac:dyDescent="0.2">
      <c r="A1419" s="5">
        <v>1358</v>
      </c>
      <c r="B1419" s="138">
        <f>'Expenditures 15-22'!D241</f>
        <v>2865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2906</v>
      </c>
      <c r="C1421" s="2" t="s">
        <v>573</v>
      </c>
      <c r="D1421" s="2" t="str">
        <f t="shared" si="21"/>
        <v>Error?</v>
      </c>
    </row>
    <row r="1422" spans="1:4" x14ac:dyDescent="0.2">
      <c r="A1422" s="5">
        <v>1361</v>
      </c>
      <c r="B1422" s="138">
        <f>'Expenditures 15-22'!D245</f>
        <v>362</v>
      </c>
      <c r="D1422" s="2" t="str">
        <f t="shared" si="21"/>
        <v>Error?</v>
      </c>
    </row>
    <row r="1423" spans="1:4" x14ac:dyDescent="0.2">
      <c r="A1423" s="5">
        <v>1362</v>
      </c>
      <c r="B1423" s="138">
        <f>'Expenditures 15-22'!D246</f>
        <v>5615</v>
      </c>
      <c r="D1423" s="2" t="str">
        <f t="shared" si="21"/>
        <v>Error?</v>
      </c>
    </row>
    <row r="1424" spans="1:4" x14ac:dyDescent="0.2">
      <c r="A1424" s="5">
        <v>1363</v>
      </c>
      <c r="B1424" s="138">
        <f>'Expenditures 15-22'!D257</f>
        <v>6312</v>
      </c>
      <c r="C1424" s="2" t="s">
        <v>573</v>
      </c>
      <c r="D1424" s="2" t="str">
        <f t="shared" si="21"/>
        <v>Error?</v>
      </c>
    </row>
    <row r="1425" spans="1:4" x14ac:dyDescent="0.2">
      <c r="A1425" s="5">
        <v>1364</v>
      </c>
      <c r="B1425" s="138">
        <f>'Expenditures 15-22'!D259</f>
        <v>22938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22938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32939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56138</v>
      </c>
      <c r="D1431" s="2" t="str">
        <f t="shared" si="21"/>
        <v>Error?</v>
      </c>
    </row>
    <row r="1432" spans="1:4" x14ac:dyDescent="0.2">
      <c r="A1432" s="5">
        <v>1371</v>
      </c>
      <c r="B1432" s="138">
        <f>'Expenditures 15-22'!D267</f>
        <v>35674</v>
      </c>
      <c r="D1432" s="2" t="str">
        <f t="shared" si="21"/>
        <v>Error?</v>
      </c>
    </row>
    <row r="1433" spans="1:4" x14ac:dyDescent="0.2">
      <c r="A1433" s="5">
        <v>1372</v>
      </c>
      <c r="B1433" s="138">
        <f>'Expenditures 15-22'!D268</f>
        <v>12929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137680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16532</v>
      </c>
      <c r="D1442" s="2" t="str">
        <f t="shared" si="21"/>
        <v>Error?</v>
      </c>
    </row>
    <row r="1443" spans="1:4" x14ac:dyDescent="0.2">
      <c r="A1443" s="10">
        <v>1382</v>
      </c>
      <c r="D1443" s="2" t="str">
        <f t="shared" si="21"/>
        <v>OK</v>
      </c>
    </row>
    <row r="1444" spans="1:4" x14ac:dyDescent="0.2">
      <c r="A1444" s="5">
        <v>1383</v>
      </c>
      <c r="B1444" s="138">
        <f>'Expenditures 15-22'!D277</f>
        <v>16532</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193261</v>
      </c>
      <c r="C1446" s="2" t="s">
        <v>573</v>
      </c>
      <c r="D1446" s="2" t="str">
        <f t="shared" si="21"/>
        <v>Error?</v>
      </c>
    </row>
    <row r="1447" spans="1:4" x14ac:dyDescent="0.2">
      <c r="A1447" s="5">
        <v>1386</v>
      </c>
      <c r="B1447" s="138">
        <f>'Expenditures 15-22'!D280</f>
        <v>4156</v>
      </c>
      <c r="D1447" s="2" t="str">
        <f t="shared" si="21"/>
        <v>Error?</v>
      </c>
    </row>
    <row r="1448" spans="1:4" x14ac:dyDescent="0.2">
      <c r="A1448" s="5">
        <v>1387</v>
      </c>
      <c r="B1448" s="138">
        <f>'Expenditures 15-22'!D295</f>
        <v>308606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4054</v>
      </c>
      <c r="C1471" s="2" t="s">
        <v>573</v>
      </c>
      <c r="D1471" s="2" t="str">
        <f t="shared" ref="D1471:D1534" si="22">IF(ISBLANK(B1471),"OK",IF(A1471-B1471=0,"OK","Error?"))</f>
        <v>Error?</v>
      </c>
    </row>
    <row r="1472" spans="1:4" x14ac:dyDescent="0.2">
      <c r="A1472" s="5">
        <v>1411</v>
      </c>
      <c r="B1472" s="138">
        <f>'Expenditures 15-22'!K223</f>
        <v>4419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111189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1615</v>
      </c>
      <c r="C1476" s="2" t="s">
        <v>573</v>
      </c>
      <c r="D1476" s="2" t="str">
        <f t="shared" si="22"/>
        <v>Error?</v>
      </c>
    </row>
    <row r="1477" spans="1:4" x14ac:dyDescent="0.2">
      <c r="A1477" s="5">
        <v>1416</v>
      </c>
      <c r="B1477" s="138">
        <f>'Expenditures 15-22'!K234</f>
        <v>5278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6893</v>
      </c>
      <c r="C1481" s="2" t="s">
        <v>573</v>
      </c>
      <c r="D1481" s="2" t="str">
        <f t="shared" si="22"/>
        <v>Error?</v>
      </c>
    </row>
    <row r="1482" spans="1:4" x14ac:dyDescent="0.2">
      <c r="A1482" s="5">
        <v>1421</v>
      </c>
      <c r="B1482" s="138">
        <f>'Expenditures 15-22'!K240</f>
        <v>41</v>
      </c>
      <c r="C1482" s="2" t="s">
        <v>573</v>
      </c>
      <c r="D1482" s="2" t="str">
        <f t="shared" si="22"/>
        <v>Error?</v>
      </c>
    </row>
    <row r="1483" spans="1:4" x14ac:dyDescent="0.2">
      <c r="A1483" s="5">
        <v>1422</v>
      </c>
      <c r="B1483" s="138">
        <f>'Expenditures 15-22'!K241</f>
        <v>2865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2906</v>
      </c>
      <c r="C1485" s="2" t="s">
        <v>573</v>
      </c>
      <c r="D1485" s="2" t="str">
        <f t="shared" si="22"/>
        <v>Error?</v>
      </c>
    </row>
    <row r="1486" spans="1:4" x14ac:dyDescent="0.2">
      <c r="A1486" s="5">
        <v>1425</v>
      </c>
      <c r="B1486" s="138">
        <f>'Expenditures 15-22'!K245</f>
        <v>362</v>
      </c>
      <c r="C1486" s="2" t="s">
        <v>573</v>
      </c>
      <c r="D1486" s="2" t="str">
        <f t="shared" si="22"/>
        <v>Error?</v>
      </c>
    </row>
    <row r="1487" spans="1:4" x14ac:dyDescent="0.2">
      <c r="A1487" s="5">
        <v>1426</v>
      </c>
      <c r="B1487" s="138">
        <f>'Expenditures 15-22'!K246</f>
        <v>5615</v>
      </c>
      <c r="C1487" s="2" t="s">
        <v>573</v>
      </c>
      <c r="D1487" s="2" t="str">
        <f t="shared" si="22"/>
        <v>Error?</v>
      </c>
    </row>
    <row r="1488" spans="1:4" x14ac:dyDescent="0.2">
      <c r="A1488" s="5">
        <v>1427</v>
      </c>
      <c r="B1488" s="138">
        <f>'Expenditures 15-22'!K257</f>
        <v>6312</v>
      </c>
      <c r="C1488" s="2" t="s">
        <v>573</v>
      </c>
      <c r="D1488" s="2" t="str">
        <f t="shared" si="22"/>
        <v>Error?</v>
      </c>
    </row>
    <row r="1489" spans="1:4" x14ac:dyDescent="0.2">
      <c r="A1489" s="5">
        <v>1428</v>
      </c>
      <c r="B1489" s="138">
        <f>'Expenditures 15-22'!K259</f>
        <v>22938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22938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32939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56138</v>
      </c>
      <c r="C1495" s="2" t="s">
        <v>573</v>
      </c>
      <c r="D1495" s="2" t="str">
        <f t="shared" si="22"/>
        <v>Error?</v>
      </c>
    </row>
    <row r="1496" spans="1:4" x14ac:dyDescent="0.2">
      <c r="A1496" s="5">
        <v>1435</v>
      </c>
      <c r="B1496" s="138">
        <f>'Expenditures 15-22'!K267</f>
        <v>35674</v>
      </c>
      <c r="C1496" s="2" t="s">
        <v>573</v>
      </c>
      <c r="D1496" s="2" t="str">
        <f t="shared" si="22"/>
        <v>Error?</v>
      </c>
    </row>
    <row r="1497" spans="1:4" x14ac:dyDescent="0.2">
      <c r="A1497" s="5">
        <v>1436</v>
      </c>
      <c r="B1497" s="138">
        <f>'Expenditures 15-22'!K268</f>
        <v>12929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137680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16532</v>
      </c>
      <c r="C1506" s="2" t="s">
        <v>573</v>
      </c>
      <c r="D1506" s="2" t="str">
        <f t="shared" si="22"/>
        <v>Error?</v>
      </c>
    </row>
    <row r="1507" spans="1:4" x14ac:dyDescent="0.2">
      <c r="A1507" s="10">
        <v>1446</v>
      </c>
      <c r="D1507" s="2" t="str">
        <f t="shared" si="22"/>
        <v>OK</v>
      </c>
    </row>
    <row r="1508" spans="1:4" x14ac:dyDescent="0.2">
      <c r="A1508" s="5">
        <v>1447</v>
      </c>
      <c r="B1508" s="138">
        <f>'Expenditures 15-22'!K277</f>
        <v>16532</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193261</v>
      </c>
      <c r="C1510" s="2" t="s">
        <v>573</v>
      </c>
      <c r="D1510" s="2" t="str">
        <f t="shared" si="22"/>
        <v>Error?</v>
      </c>
    </row>
    <row r="1511" spans="1:4" x14ac:dyDescent="0.2">
      <c r="A1511" s="5">
        <v>1450</v>
      </c>
      <c r="B1511" s="138">
        <f>'Expenditures 15-22'!K280</f>
        <v>4156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308606</v>
      </c>
      <c r="C1517" s="2" t="s">
        <v>573</v>
      </c>
      <c r="D1517" s="2" t="str">
        <f t="shared" si="22"/>
        <v>Error?</v>
      </c>
    </row>
    <row r="1518" spans="1:4" x14ac:dyDescent="0.2">
      <c r="A1518" s="5">
        <v>1457</v>
      </c>
      <c r="B1518" s="138">
        <f>'Expenditures 15-22'!K296</f>
        <v>-160408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48058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1014932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1757815</v>
      </c>
      <c r="C1630" s="2" t="s">
        <v>573</v>
      </c>
      <c r="D1630" s="2" t="str">
        <f t="shared" si="24"/>
        <v>Error?</v>
      </c>
    </row>
    <row r="1631" spans="1:4" x14ac:dyDescent="0.2">
      <c r="A1631" s="5">
        <v>1570</v>
      </c>
      <c r="B1631" s="138">
        <f>'Acct Summary 7-8'!D79</f>
        <v>110025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122781</v>
      </c>
      <c r="C1644" s="2" t="s">
        <v>573</v>
      </c>
      <c r="D1644" s="2" t="str">
        <f t="shared" si="24"/>
        <v>Error?</v>
      </c>
    </row>
    <row r="1645" spans="1:4" x14ac:dyDescent="0.2">
      <c r="A1645" s="5">
        <v>1584</v>
      </c>
      <c r="B1645" s="138">
        <f>'Acct Summary 7-8'!E79</f>
        <v>227526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319658</v>
      </c>
      <c r="C1658" s="2" t="s">
        <v>573</v>
      </c>
      <c r="D1658" s="2" t="str">
        <f t="shared" si="24"/>
        <v>Error?</v>
      </c>
    </row>
    <row r="1659" spans="1:4" x14ac:dyDescent="0.2">
      <c r="A1659" s="5">
        <v>1598</v>
      </c>
      <c r="B1659" s="138">
        <f>'Acct Summary 7-8'!F79</f>
        <v>659958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694788</v>
      </c>
      <c r="C1672" s="2" t="s">
        <v>573</v>
      </c>
      <c r="D1672" s="2" t="str">
        <f t="shared" si="25"/>
        <v>Error?</v>
      </c>
    </row>
    <row r="1673" spans="1:4" x14ac:dyDescent="0.2">
      <c r="A1673" s="5">
        <v>1612</v>
      </c>
      <c r="B1673" s="138">
        <f>'Acct Summary 7-8'!G79</f>
        <v>187751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27343</v>
      </c>
      <c r="C1686" s="2" t="s">
        <v>573</v>
      </c>
      <c r="D1686" s="2" t="str">
        <f t="shared" si="25"/>
        <v>Error?</v>
      </c>
    </row>
    <row r="1687" spans="1:4" x14ac:dyDescent="0.2">
      <c r="A1687" s="5">
        <v>1626</v>
      </c>
      <c r="B1687" s="138">
        <f>'Acct Summary 7-8'!H79</f>
        <v>258857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306915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2266057</v>
      </c>
      <c r="C1744" s="2" t="s">
        <v>573</v>
      </c>
      <c r="D1744" s="2" t="str">
        <f t="shared" si="26"/>
        <v>Error?</v>
      </c>
    </row>
    <row r="1745" spans="1:5" x14ac:dyDescent="0.2">
      <c r="A1745" s="5">
        <v>1684</v>
      </c>
      <c r="B1745" s="138">
        <f>'Tax Sched 23'!B5</f>
        <v>504306</v>
      </c>
      <c r="C1745" s="2" t="s">
        <v>573</v>
      </c>
      <c r="D1745" s="2" t="str">
        <f t="shared" si="26"/>
        <v>Error?</v>
      </c>
    </row>
    <row r="1746" spans="1:5" x14ac:dyDescent="0.2">
      <c r="A1746" s="5">
        <v>1685</v>
      </c>
      <c r="B1746" s="138">
        <f>'Tax Sched 23'!B6</f>
        <v>159079</v>
      </c>
      <c r="C1746" s="2" t="s">
        <v>573</v>
      </c>
      <c r="D1746" s="2" t="str">
        <f t="shared" si="26"/>
        <v>Error?</v>
      </c>
    </row>
    <row r="1747" spans="1:5" x14ac:dyDescent="0.2">
      <c r="A1747" s="5">
        <v>1686</v>
      </c>
      <c r="B1747" s="138">
        <f>'Tax Sched 23'!B7</f>
        <v>229967</v>
      </c>
      <c r="C1747" s="2" t="s">
        <v>573</v>
      </c>
      <c r="D1747" s="2" t="str">
        <f t="shared" si="26"/>
        <v>Error?</v>
      </c>
    </row>
    <row r="1748" spans="1:5" x14ac:dyDescent="0.2">
      <c r="A1748" s="5">
        <v>1687</v>
      </c>
      <c r="B1748" s="138">
        <f>'Tax Sched 23'!B8</f>
        <v>1076</v>
      </c>
      <c r="C1748" s="2" t="s">
        <v>573</v>
      </c>
      <c r="D1748" s="2" t="str">
        <f t="shared" si="26"/>
        <v>Error?</v>
      </c>
    </row>
    <row r="1749" spans="1:5" x14ac:dyDescent="0.2">
      <c r="A1749" s="5">
        <v>1688</v>
      </c>
      <c r="B1749" s="138">
        <f>'Tax Sched 23'!B10</f>
        <v>51019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220417</v>
      </c>
      <c r="C1752" s="2" t="s">
        <v>573</v>
      </c>
      <c r="D1752" s="2" t="str">
        <f t="shared" si="26"/>
        <v>Error?</v>
      </c>
    </row>
    <row r="1753" spans="1:5" x14ac:dyDescent="0.2">
      <c r="A1753" s="5">
        <v>1692</v>
      </c>
      <c r="B1753" s="138">
        <f>'Tax Sched 23'!B12</f>
        <v>51006</v>
      </c>
      <c r="C1753" s="2" t="s">
        <v>573</v>
      </c>
      <c r="D1753" s="2" t="str">
        <f t="shared" si="26"/>
        <v>Error?</v>
      </c>
    </row>
    <row r="1754" spans="1:5" x14ac:dyDescent="0.2">
      <c r="A1754" s="5">
        <v>1693</v>
      </c>
      <c r="B1754" s="138">
        <f>'Tax Sched 23'!B14</f>
        <v>40283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3660429</v>
      </c>
      <c r="C1759" s="2" t="s">
        <v>573</v>
      </c>
      <c r="D1759" s="2" t="str">
        <f t="shared" si="26"/>
        <v>Error?</v>
      </c>
    </row>
    <row r="1760" spans="1:5" x14ac:dyDescent="0.2">
      <c r="A1760" s="5">
        <v>1699</v>
      </c>
      <c r="B1760" s="138">
        <f>'Tax Sched 23'!D4</f>
        <v>2218118</v>
      </c>
      <c r="C1760" s="2" t="s">
        <v>573</v>
      </c>
      <c r="D1760" s="2" t="str">
        <f t="shared" si="26"/>
        <v>Error?</v>
      </c>
    </row>
    <row r="1761" spans="1:5" x14ac:dyDescent="0.2">
      <c r="A1761" s="5">
        <v>1700</v>
      </c>
      <c r="B1761" s="138">
        <f>'Tax Sched 23'!D5</f>
        <v>493637</v>
      </c>
      <c r="C1761" s="2" t="s">
        <v>573</v>
      </c>
      <c r="D1761" s="2" t="str">
        <f t="shared" si="26"/>
        <v>Error?</v>
      </c>
    </row>
    <row r="1762" spans="1:5" s="8" customFormat="1" x14ac:dyDescent="0.2">
      <c r="A1762" s="5">
        <v>1701</v>
      </c>
      <c r="B1762" s="138">
        <f>'Tax Sched 23'!D6</f>
        <v>155714</v>
      </c>
      <c r="C1762" s="2" t="s">
        <v>573</v>
      </c>
      <c r="D1762" s="2" t="str">
        <f t="shared" si="26"/>
        <v>Error?</v>
      </c>
      <c r="E1762" s="9"/>
    </row>
    <row r="1763" spans="1:5" x14ac:dyDescent="0.2">
      <c r="A1763" s="5">
        <v>1702</v>
      </c>
      <c r="B1763" s="138">
        <f>'Tax Sched 23'!D7</f>
        <v>225102</v>
      </c>
      <c r="C1763" s="2" t="s">
        <v>573</v>
      </c>
      <c r="D1763" s="2" t="str">
        <f t="shared" si="26"/>
        <v>Error?</v>
      </c>
    </row>
    <row r="1764" spans="1:5" x14ac:dyDescent="0.2">
      <c r="A1764" s="5">
        <v>1703</v>
      </c>
      <c r="B1764" s="138">
        <f>'Tax Sched 23'!D8</f>
        <v>1053</v>
      </c>
      <c r="C1764" s="2" t="s">
        <v>573</v>
      </c>
      <c r="D1764" s="2" t="str">
        <f t="shared" si="26"/>
        <v>Error?</v>
      </c>
    </row>
    <row r="1765" spans="1:5" x14ac:dyDescent="0.2">
      <c r="A1765" s="5">
        <v>1704</v>
      </c>
      <c r="B1765" s="138">
        <f>'Tax Sched 23'!D10</f>
        <v>49940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215754</v>
      </c>
      <c r="C1768" s="2" t="s">
        <v>573</v>
      </c>
      <c r="D1768" s="2" t="str">
        <f t="shared" si="26"/>
        <v>Error?</v>
      </c>
    </row>
    <row r="1769" spans="1:5" x14ac:dyDescent="0.2">
      <c r="A1769" s="5">
        <v>1708</v>
      </c>
      <c r="B1769" s="138">
        <f>'Tax Sched 23'!D12</f>
        <v>49927</v>
      </c>
      <c r="C1769" s="2" t="s">
        <v>573</v>
      </c>
      <c r="D1769" s="2" t="str">
        <f t="shared" si="26"/>
        <v>Error?</v>
      </c>
    </row>
    <row r="1770" spans="1:5" x14ac:dyDescent="0.2">
      <c r="A1770" s="5">
        <v>1709</v>
      </c>
      <c r="B1770" s="138">
        <f>'Tax Sched 23'!D14</f>
        <v>39431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3582992</v>
      </c>
      <c r="C1775" s="2" t="s">
        <v>573</v>
      </c>
      <c r="D1775" s="2" t="str">
        <f t="shared" si="26"/>
        <v>Error?</v>
      </c>
    </row>
    <row r="1776" spans="1:5" x14ac:dyDescent="0.2">
      <c r="A1776" s="5">
        <v>1715</v>
      </c>
      <c r="B1776" s="138">
        <f>'Tax Sched 23'!C4</f>
        <v>47939</v>
      </c>
      <c r="D1776" s="2" t="str">
        <f t="shared" si="26"/>
        <v>Error?</v>
      </c>
    </row>
    <row r="1777" spans="1:4" x14ac:dyDescent="0.2">
      <c r="A1777" s="5">
        <v>1716</v>
      </c>
      <c r="B1777" s="138">
        <f>'Tax Sched 23'!C5</f>
        <v>10669</v>
      </c>
      <c r="D1777" s="2" t="str">
        <f t="shared" si="26"/>
        <v>Error?</v>
      </c>
    </row>
    <row r="1778" spans="1:4" x14ac:dyDescent="0.2">
      <c r="A1778" s="5">
        <v>1717</v>
      </c>
      <c r="B1778" s="138">
        <f>'Tax Sched 23'!C6</f>
        <v>3365</v>
      </c>
      <c r="D1778" s="2" t="str">
        <f t="shared" si="26"/>
        <v>Error?</v>
      </c>
    </row>
    <row r="1779" spans="1:4" x14ac:dyDescent="0.2">
      <c r="A1779" s="5">
        <v>1718</v>
      </c>
      <c r="B1779" s="138">
        <f>'Tax Sched 23'!C7</f>
        <v>4865</v>
      </c>
      <c r="D1779" s="2" t="str">
        <f t="shared" si="26"/>
        <v>Error?</v>
      </c>
    </row>
    <row r="1780" spans="1:4" x14ac:dyDescent="0.2">
      <c r="A1780" s="5">
        <v>1719</v>
      </c>
      <c r="B1780" s="138">
        <f>'Tax Sched 23'!C8</f>
        <v>23</v>
      </c>
      <c r="D1780" s="2" t="str">
        <f t="shared" si="26"/>
        <v>Error?</v>
      </c>
    </row>
    <row r="1781" spans="1:4" x14ac:dyDescent="0.2">
      <c r="A1781" s="5">
        <v>1720</v>
      </c>
      <c r="B1781" s="138">
        <f>'Tax Sched 23'!C10</f>
        <v>1079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4663</v>
      </c>
      <c r="D1784" s="2" t="str">
        <f t="shared" si="26"/>
        <v>Error?</v>
      </c>
    </row>
    <row r="1785" spans="1:4" x14ac:dyDescent="0.2">
      <c r="A1785" s="5">
        <v>1724</v>
      </c>
      <c r="B1785" s="138">
        <f>'Tax Sched 23'!C12</f>
        <v>1079</v>
      </c>
      <c r="D1785" s="2" t="str">
        <f t="shared" si="26"/>
        <v>Error?</v>
      </c>
    </row>
    <row r="1786" spans="1:4" x14ac:dyDescent="0.2">
      <c r="A1786" s="5">
        <v>1725</v>
      </c>
      <c r="B1786" s="138">
        <f>'Tax Sched 23'!C14</f>
        <v>852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77437</v>
      </c>
      <c r="C1791" s="2" t="s">
        <v>573</v>
      </c>
      <c r="D1791" s="2" t="str">
        <f t="shared" ref="D1791:D1854" si="27">IF(ISBLANK(B1791),"OK",IF(A1791-B1791=0,"OK","Error?"))</f>
        <v>Error?</v>
      </c>
    </row>
    <row r="1792" spans="1:4" x14ac:dyDescent="0.2">
      <c r="A1792" s="5">
        <v>1731</v>
      </c>
      <c r="B1792" s="138">
        <f>'Tax Sched 23'!F4</f>
        <v>2167599</v>
      </c>
      <c r="C1792" s="2" t="s">
        <v>573</v>
      </c>
      <c r="D1792" s="2" t="str">
        <f t="shared" si="27"/>
        <v>Error?</v>
      </c>
    </row>
    <row r="1793" spans="1:4" x14ac:dyDescent="0.2">
      <c r="A1793" s="5">
        <v>1732</v>
      </c>
      <c r="B1793" s="138">
        <f>'Tax Sched 23'!F5</f>
        <v>467718</v>
      </c>
      <c r="C1793" s="2" t="s">
        <v>573</v>
      </c>
      <c r="D1793" s="2" t="str">
        <f t="shared" si="27"/>
        <v>Error?</v>
      </c>
    </row>
    <row r="1794" spans="1:4" x14ac:dyDescent="0.2">
      <c r="A1794" s="5">
        <v>1733</v>
      </c>
      <c r="B1794" s="138">
        <f>'Tax Sched 23'!F6</f>
        <v>153025</v>
      </c>
      <c r="C1794" s="2" t="s">
        <v>573</v>
      </c>
      <c r="D1794" s="2" t="str">
        <f t="shared" si="27"/>
        <v>Error?</v>
      </c>
    </row>
    <row r="1795" spans="1:4" x14ac:dyDescent="0.2">
      <c r="A1795" s="5">
        <v>1734</v>
      </c>
      <c r="B1795" s="138">
        <f>'Tax Sched 23'!F7</f>
        <v>212072</v>
      </c>
      <c r="C1795" s="2" t="s">
        <v>573</v>
      </c>
      <c r="D1795" s="2" t="str">
        <f t="shared" si="27"/>
        <v>Error?</v>
      </c>
    </row>
    <row r="1796" spans="1:4" x14ac:dyDescent="0.2">
      <c r="A1796" s="5">
        <v>1735</v>
      </c>
      <c r="B1796" s="138">
        <f>'Tax Sched 23'!F8</f>
        <v>138530</v>
      </c>
      <c r="C1796" s="2" t="s">
        <v>573</v>
      </c>
      <c r="D1796" s="2" t="str">
        <f t="shared" si="27"/>
        <v>Error?</v>
      </c>
    </row>
    <row r="1797" spans="1:4" x14ac:dyDescent="0.2">
      <c r="A1797" s="5">
        <v>1736</v>
      </c>
      <c r="B1797" s="138">
        <f>'Tax Sched 23'!F10</f>
        <v>47354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204425</v>
      </c>
      <c r="C1800" s="2" t="s">
        <v>573</v>
      </c>
      <c r="D1800" s="2" t="str">
        <f t="shared" si="27"/>
        <v>Error?</v>
      </c>
    </row>
    <row r="1801" spans="1:4" x14ac:dyDescent="0.2">
      <c r="A1801" s="5">
        <v>1740</v>
      </c>
      <c r="B1801" s="138">
        <f>'Tax Sched 23'!F12</f>
        <v>47354</v>
      </c>
      <c r="C1801" s="2" t="s">
        <v>573</v>
      </c>
      <c r="D1801" s="2" t="str">
        <f t="shared" si="27"/>
        <v>Error?</v>
      </c>
    </row>
    <row r="1802" spans="1:4" x14ac:dyDescent="0.2">
      <c r="A1802" s="5">
        <v>1741</v>
      </c>
      <c r="B1802" s="138">
        <f>'Tax Sched 23'!F14</f>
        <v>37383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3673114</v>
      </c>
      <c r="C1807" s="2" t="s">
        <v>573</v>
      </c>
      <c r="D1807" s="2" t="str">
        <f t="shared" si="27"/>
        <v>Error?</v>
      </c>
    </row>
    <row r="1808" spans="1:4" x14ac:dyDescent="0.2">
      <c r="A1808" s="5">
        <v>1747</v>
      </c>
      <c r="B1808" s="138">
        <f>'Tax Sched 23'!E4</f>
        <v>2215538</v>
      </c>
      <c r="D1808" s="2" t="str">
        <f t="shared" si="27"/>
        <v>Error?</v>
      </c>
    </row>
    <row r="1809" spans="1:4" x14ac:dyDescent="0.2">
      <c r="A1809" s="5">
        <v>1748</v>
      </c>
      <c r="B1809" s="138">
        <f>'Tax Sched 23'!E5</f>
        <v>478387</v>
      </c>
      <c r="D1809" s="2" t="str">
        <f t="shared" si="27"/>
        <v>Error?</v>
      </c>
    </row>
    <row r="1810" spans="1:4" x14ac:dyDescent="0.2">
      <c r="A1810" s="5">
        <v>1749</v>
      </c>
      <c r="B1810" s="138">
        <f>'Tax Sched 23'!E6</f>
        <v>156390</v>
      </c>
      <c r="D1810" s="2" t="str">
        <f t="shared" si="27"/>
        <v>Error?</v>
      </c>
    </row>
    <row r="1811" spans="1:4" x14ac:dyDescent="0.2">
      <c r="A1811" s="5">
        <v>1750</v>
      </c>
      <c r="B1811" s="138">
        <f>'Tax Sched 23'!E7</f>
        <v>216937</v>
      </c>
      <c r="D1811" s="2" t="str">
        <f t="shared" si="27"/>
        <v>Error?</v>
      </c>
    </row>
    <row r="1812" spans="1:4" x14ac:dyDescent="0.2">
      <c r="A1812" s="5">
        <v>1751</v>
      </c>
      <c r="B1812" s="138">
        <f>'Tax Sched 23'!E8</f>
        <v>138553</v>
      </c>
      <c r="D1812" s="2" t="str">
        <f t="shared" si="27"/>
        <v>Error?</v>
      </c>
    </row>
    <row r="1813" spans="1:4" x14ac:dyDescent="0.2">
      <c r="A1813" s="5">
        <v>1752</v>
      </c>
      <c r="B1813" s="138">
        <f>'Tax Sched 23'!E10</f>
        <v>48433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209088</v>
      </c>
      <c r="D1816" s="2" t="str">
        <f t="shared" si="27"/>
        <v>Error?</v>
      </c>
    </row>
    <row r="1817" spans="1:4" x14ac:dyDescent="0.2">
      <c r="A1817" s="5">
        <v>1756</v>
      </c>
      <c r="B1817" s="138">
        <f>'Tax Sched 23'!E12</f>
        <v>48433</v>
      </c>
      <c r="D1817" s="2" t="str">
        <f t="shared" si="27"/>
        <v>Error?</v>
      </c>
    </row>
    <row r="1818" spans="1:4" x14ac:dyDescent="0.2">
      <c r="A1818" s="5">
        <v>1757</v>
      </c>
      <c r="B1818" s="138">
        <f>'Tax Sched 23'!E14</f>
        <v>38235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3750551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4455000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40283</v>
      </c>
      <c r="D1972" s="2" t="str">
        <f t="shared" si="29"/>
        <v>Error?</v>
      </c>
    </row>
    <row r="1973" spans="1:5" x14ac:dyDescent="0.2">
      <c r="A1973" s="5">
        <v>1912</v>
      </c>
      <c r="B1973" s="138">
        <f>'Rest Tax Levies-Tort Im 25'!H6</f>
        <v>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40291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40291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223421</v>
      </c>
      <c r="D2008" s="2" t="str">
        <f t="shared" si="30"/>
        <v>Error?</v>
      </c>
    </row>
    <row r="2009" spans="1:4" x14ac:dyDescent="0.2">
      <c r="A2009" s="5">
        <v>1948</v>
      </c>
      <c r="B2009" s="138">
        <f>'Cap Outlay Deprec 26'!C8</f>
        <v>13868462</v>
      </c>
      <c r="D2009" s="2" t="str">
        <f t="shared" si="30"/>
        <v>Error?</v>
      </c>
    </row>
    <row r="2010" spans="1:4" x14ac:dyDescent="0.2">
      <c r="A2010" s="5">
        <v>1949</v>
      </c>
      <c r="B2010" s="138">
        <f>'Cap Outlay Deprec 26'!C10</f>
        <v>773280</v>
      </c>
      <c r="D2010" s="2" t="str">
        <f t="shared" si="30"/>
        <v>Error?</v>
      </c>
    </row>
    <row r="2011" spans="1:4" x14ac:dyDescent="0.2">
      <c r="A2011" s="5">
        <v>1950</v>
      </c>
      <c r="B2011" s="138">
        <f>'Cap Outlay Deprec 26'!C12</f>
        <v>4926728</v>
      </c>
      <c r="D2011" s="2" t="str">
        <f t="shared" si="30"/>
        <v>Error?</v>
      </c>
    </row>
    <row r="2012" spans="1:4" x14ac:dyDescent="0.2">
      <c r="A2012" s="5">
        <v>1951</v>
      </c>
      <c r="B2012" s="138">
        <f>'Cap Outlay Deprec 26'!C13</f>
        <v>1666477</v>
      </c>
      <c r="D2012" s="2" t="str">
        <f t="shared" si="30"/>
        <v>Error?</v>
      </c>
    </row>
    <row r="2013" spans="1:4" x14ac:dyDescent="0.2">
      <c r="A2013" s="5">
        <v>1952</v>
      </c>
      <c r="B2013" s="138">
        <f>'Cap Outlay Deprec 26'!C16</f>
        <v>21458368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2486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324987</v>
      </c>
      <c r="D2017" s="2" t="str">
        <f t="shared" si="30"/>
        <v>Error?</v>
      </c>
    </row>
    <row r="2018" spans="1:4" x14ac:dyDescent="0.2">
      <c r="A2018" s="5">
        <v>1957</v>
      </c>
      <c r="B2018" s="138">
        <f>'Cap Outlay Deprec 26'!D13</f>
        <v>52745</v>
      </c>
      <c r="D2018" s="2" t="str">
        <f t="shared" si="30"/>
        <v>Error?</v>
      </c>
    </row>
    <row r="2019" spans="1:4" x14ac:dyDescent="0.2">
      <c r="A2019" s="5">
        <v>1958</v>
      </c>
      <c r="B2019" s="138">
        <f>'Cap Outlay Deprec 26'!D16</f>
        <v>380218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223421</v>
      </c>
      <c r="C2026" s="2" t="s">
        <v>573</v>
      </c>
      <c r="D2026" s="2" t="str">
        <f t="shared" si="30"/>
        <v>Error?</v>
      </c>
    </row>
    <row r="2027" spans="1:4" x14ac:dyDescent="0.2">
      <c r="A2027" s="5">
        <v>1966</v>
      </c>
      <c r="B2027" s="138">
        <f>'Cap Outlay Deprec 26'!F8</f>
        <v>13870948</v>
      </c>
      <c r="C2027" s="2" t="s">
        <v>573</v>
      </c>
      <c r="D2027" s="2" t="str">
        <f t="shared" si="30"/>
        <v>Error?</v>
      </c>
    </row>
    <row r="2028" spans="1:4" x14ac:dyDescent="0.2">
      <c r="A2028" s="5">
        <v>1967</v>
      </c>
      <c r="B2028" s="138">
        <f>'Cap Outlay Deprec 26'!F10</f>
        <v>773280</v>
      </c>
      <c r="C2028" s="2" t="s">
        <v>573</v>
      </c>
      <c r="D2028" s="2" t="str">
        <f t="shared" si="30"/>
        <v>Error?</v>
      </c>
    </row>
    <row r="2029" spans="1:4" x14ac:dyDescent="0.2">
      <c r="A2029" s="5">
        <v>1968</v>
      </c>
      <c r="B2029" s="138">
        <f>'Cap Outlay Deprec 26'!F12</f>
        <v>5251715</v>
      </c>
      <c r="C2029" s="2" t="s">
        <v>573</v>
      </c>
      <c r="D2029" s="2" t="str">
        <f t="shared" si="30"/>
        <v>Error?</v>
      </c>
    </row>
    <row r="2030" spans="1:4" x14ac:dyDescent="0.2">
      <c r="A2030" s="5">
        <v>1969</v>
      </c>
      <c r="B2030" s="138">
        <f>'Cap Outlay Deprec 26'!F13</f>
        <v>1719222</v>
      </c>
      <c r="C2030" s="2" t="s">
        <v>573</v>
      </c>
      <c r="D2030" s="2" t="str">
        <f t="shared" si="30"/>
        <v>Error?</v>
      </c>
    </row>
    <row r="2031" spans="1:4" x14ac:dyDescent="0.2">
      <c r="A2031" s="5">
        <v>1970</v>
      </c>
      <c r="B2031" s="138">
        <f>'Cap Outlay Deprec 26'!F16</f>
        <v>21838586</v>
      </c>
      <c r="C2031" s="2" t="s">
        <v>573</v>
      </c>
      <c r="D2031" s="2" t="str">
        <f t="shared" si="30"/>
        <v>Error?</v>
      </c>
    </row>
    <row r="2032" spans="1:4" x14ac:dyDescent="0.2">
      <c r="A2032" s="10">
        <v>1971</v>
      </c>
      <c r="D2032" s="2" t="str">
        <f t="shared" si="30"/>
        <v>OK</v>
      </c>
    </row>
    <row r="2033" spans="1:4" x14ac:dyDescent="0.2">
      <c r="A2033" s="5">
        <v>1972</v>
      </c>
      <c r="B2033" s="138">
        <f>'Cap Outlay Deprec 26'!H8</f>
        <v>5490691</v>
      </c>
      <c r="D2033" s="2" t="str">
        <f t="shared" si="30"/>
        <v>Error?</v>
      </c>
    </row>
    <row r="2034" spans="1:4" x14ac:dyDescent="0.2">
      <c r="A2034" s="5">
        <v>1973</v>
      </c>
      <c r="B2034" s="138">
        <f>'Cap Outlay Deprec 26'!H10</f>
        <v>410755</v>
      </c>
      <c r="D2034" s="2" t="str">
        <f t="shared" si="30"/>
        <v>Error?</v>
      </c>
    </row>
    <row r="2035" spans="1:4" x14ac:dyDescent="0.2">
      <c r="A2035" s="5">
        <v>1974</v>
      </c>
      <c r="B2035" s="138">
        <f>'Cap Outlay Deprec 26'!H12</f>
        <v>3459889</v>
      </c>
      <c r="D2035" s="2" t="str">
        <f t="shared" si="30"/>
        <v>Error?</v>
      </c>
    </row>
    <row r="2036" spans="1:4" x14ac:dyDescent="0.2">
      <c r="A2036" s="5">
        <v>1975</v>
      </c>
      <c r="B2036" s="138">
        <f>'Cap Outlay Deprec 26'!H13</f>
        <v>1267664</v>
      </c>
      <c r="D2036" s="2" t="str">
        <f t="shared" si="30"/>
        <v>Error?</v>
      </c>
    </row>
    <row r="2037" spans="1:4" x14ac:dyDescent="0.2">
      <c r="A2037" s="5">
        <v>1976</v>
      </c>
      <c r="B2037" s="138">
        <f>'Cap Outlay Deprec 26'!H16</f>
        <v>10628999</v>
      </c>
      <c r="C2037" s="2" t="s">
        <v>573</v>
      </c>
      <c r="D2037" s="2" t="str">
        <f t="shared" si="30"/>
        <v>Error?</v>
      </c>
    </row>
    <row r="2038" spans="1:4" x14ac:dyDescent="0.2">
      <c r="A2038" s="10">
        <v>1977</v>
      </c>
      <c r="D2038" s="2" t="str">
        <f t="shared" si="30"/>
        <v>OK</v>
      </c>
    </row>
    <row r="2039" spans="1:4" x14ac:dyDescent="0.2">
      <c r="A2039" s="5">
        <v>1978</v>
      </c>
      <c r="B2039" s="138">
        <f>'Cap Outlay Deprec 26'!I8</f>
        <v>167580</v>
      </c>
      <c r="D2039" s="2" t="str">
        <f t="shared" si="30"/>
        <v>Error?</v>
      </c>
    </row>
    <row r="2040" spans="1:4" x14ac:dyDescent="0.2">
      <c r="A2040" s="5">
        <v>1979</v>
      </c>
      <c r="B2040" s="138">
        <f>'Cap Outlay Deprec 26'!I10</f>
        <v>18126</v>
      </c>
      <c r="D2040" s="2" t="str">
        <f t="shared" si="30"/>
        <v>Error?</v>
      </c>
    </row>
    <row r="2041" spans="1:4" x14ac:dyDescent="0.2">
      <c r="A2041" s="5">
        <v>1980</v>
      </c>
      <c r="B2041" s="138">
        <f>'Cap Outlay Deprec 26'!I12</f>
        <v>162933</v>
      </c>
      <c r="D2041" s="2" t="str">
        <f t="shared" si="30"/>
        <v>Error?</v>
      </c>
    </row>
    <row r="2042" spans="1:4" x14ac:dyDescent="0.2">
      <c r="A2042" s="5">
        <v>1981</v>
      </c>
      <c r="B2042" s="138">
        <f>'Cap Outlay Deprec 26'!I13</f>
        <v>57519</v>
      </c>
      <c r="D2042" s="2" t="str">
        <f t="shared" si="30"/>
        <v>Error?</v>
      </c>
    </row>
    <row r="2043" spans="1:4" x14ac:dyDescent="0.2">
      <c r="A2043" s="5">
        <v>1982</v>
      </c>
      <c r="B2043" s="138">
        <f>'Cap Outlay Deprec 26'!I16</f>
        <v>406158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5658271</v>
      </c>
      <c r="C2051" s="2" t="s">
        <v>573</v>
      </c>
      <c r="D2051" s="2" t="str">
        <f t="shared" si="31"/>
        <v>Error?</v>
      </c>
    </row>
    <row r="2052" spans="1:4" x14ac:dyDescent="0.2">
      <c r="A2052" s="5">
        <v>1991</v>
      </c>
      <c r="B2052" s="138">
        <f>'Cap Outlay Deprec 26'!K10</f>
        <v>428881</v>
      </c>
      <c r="C2052" s="2" t="s">
        <v>573</v>
      </c>
      <c r="D2052" s="2" t="str">
        <f t="shared" si="31"/>
        <v>Error?</v>
      </c>
    </row>
    <row r="2053" spans="1:4" x14ac:dyDescent="0.2">
      <c r="A2053" s="5">
        <v>1992</v>
      </c>
      <c r="B2053" s="138">
        <f>'Cap Outlay Deprec 26'!K12</f>
        <v>3622822</v>
      </c>
      <c r="C2053" s="2" t="s">
        <v>573</v>
      </c>
      <c r="D2053" s="2" t="str">
        <f t="shared" si="31"/>
        <v>Error?</v>
      </c>
    </row>
    <row r="2054" spans="1:4" x14ac:dyDescent="0.2">
      <c r="A2054" s="5">
        <v>1993</v>
      </c>
      <c r="B2054" s="138">
        <f>'Cap Outlay Deprec 26'!K13</f>
        <v>1325183</v>
      </c>
      <c r="C2054" s="2" t="s">
        <v>573</v>
      </c>
      <c r="D2054" s="2" t="str">
        <f t="shared" si="31"/>
        <v>Error?</v>
      </c>
    </row>
    <row r="2055" spans="1:4" x14ac:dyDescent="0.2">
      <c r="A2055" s="5">
        <v>1994</v>
      </c>
      <c r="B2055" s="138">
        <f>'Cap Outlay Deprec 26'!K16</f>
        <v>11035157</v>
      </c>
      <c r="C2055" s="2" t="s">
        <v>573</v>
      </c>
      <c r="D2055" s="2" t="str">
        <f t="shared" si="31"/>
        <v>Error?</v>
      </c>
    </row>
    <row r="2056" spans="1:4" x14ac:dyDescent="0.2">
      <c r="A2056" s="5">
        <v>1995</v>
      </c>
      <c r="B2056" s="138">
        <f>'Cap Outlay Deprec 26'!L5</f>
        <v>223421</v>
      </c>
      <c r="C2056" s="2" t="s">
        <v>573</v>
      </c>
      <c r="D2056" s="2" t="str">
        <f t="shared" si="31"/>
        <v>Error?</v>
      </c>
    </row>
    <row r="2057" spans="1:4" x14ac:dyDescent="0.2">
      <c r="A2057" s="5">
        <v>1996</v>
      </c>
      <c r="B2057" s="138">
        <f>'Cap Outlay Deprec 26'!L8</f>
        <v>8212677</v>
      </c>
      <c r="C2057" s="2" t="s">
        <v>573</v>
      </c>
      <c r="D2057" s="2" t="str">
        <f t="shared" si="31"/>
        <v>Error?</v>
      </c>
    </row>
    <row r="2058" spans="1:4" x14ac:dyDescent="0.2">
      <c r="A2058" s="5">
        <v>1997</v>
      </c>
      <c r="B2058" s="138">
        <f>'Cap Outlay Deprec 26'!L10</f>
        <v>344399</v>
      </c>
      <c r="C2058" s="2" t="s">
        <v>573</v>
      </c>
      <c r="D2058" s="2" t="str">
        <f t="shared" si="31"/>
        <v>Error?</v>
      </c>
    </row>
    <row r="2059" spans="1:4" x14ac:dyDescent="0.2">
      <c r="A2059" s="5">
        <v>1998</v>
      </c>
      <c r="B2059" s="138">
        <f>'Cap Outlay Deprec 26'!L12</f>
        <v>1628893</v>
      </c>
      <c r="C2059" s="2" t="s">
        <v>573</v>
      </c>
      <c r="D2059" s="2" t="str">
        <f t="shared" si="31"/>
        <v>Error?</v>
      </c>
    </row>
    <row r="2060" spans="1:4" x14ac:dyDescent="0.2">
      <c r="A2060" s="5">
        <v>1999</v>
      </c>
      <c r="B2060" s="138">
        <f>'Cap Outlay Deprec 26'!L13</f>
        <v>394039</v>
      </c>
      <c r="C2060" s="2" t="s">
        <v>573</v>
      </c>
      <c r="D2060" s="2" t="str">
        <f t="shared" si="31"/>
        <v>Error?</v>
      </c>
    </row>
    <row r="2061" spans="1:4" x14ac:dyDescent="0.2">
      <c r="A2061" s="5">
        <v>2000</v>
      </c>
      <c r="B2061" s="138">
        <f>'Cap Outlay Deprec 26'!L16</f>
        <v>10803429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631239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638202</v>
      </c>
      <c r="C2088" s="2" t="s">
        <v>573</v>
      </c>
      <c r="D2088" s="2" t="str">
        <f t="shared" si="31"/>
        <v>Error?</v>
      </c>
    </row>
    <row r="2089" spans="1:4" x14ac:dyDescent="0.2">
      <c r="A2089" s="5">
        <v>2028</v>
      </c>
      <c r="B2089" s="138">
        <f>'Expenditures 15-22'!K92</f>
        <v>98983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27343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319658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306915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2897525</v>
      </c>
      <c r="C2551" s="2" t="s">
        <v>573</v>
      </c>
      <c r="D2551" s="2" t="str">
        <f t="shared" si="38"/>
        <v>Error?</v>
      </c>
    </row>
    <row r="2552" spans="1:4" x14ac:dyDescent="0.2">
      <c r="A2552" s="10">
        <v>2491</v>
      </c>
      <c r="D2552" s="2" t="str">
        <f t="shared" si="38"/>
        <v>OK</v>
      </c>
    </row>
    <row r="2553" spans="1:4" x14ac:dyDescent="0.2">
      <c r="A2553" s="5">
        <v>2492</v>
      </c>
      <c r="B2553" s="138">
        <f>'Acct Summary 7-8'!C6</f>
        <v>5152499</v>
      </c>
      <c r="C2553" s="2" t="s">
        <v>573</v>
      </c>
      <c r="D2553" s="2" t="str">
        <f t="shared" si="38"/>
        <v>Error?</v>
      </c>
    </row>
    <row r="2554" spans="1:4" x14ac:dyDescent="0.2">
      <c r="A2554" s="5">
        <v>2493</v>
      </c>
      <c r="B2554" s="138">
        <f>'Acct Summary 7-8'!C7</f>
        <v>948470</v>
      </c>
      <c r="C2554" s="2" t="s">
        <v>573</v>
      </c>
      <c r="D2554" s="2" t="str">
        <f t="shared" si="38"/>
        <v>Error?</v>
      </c>
    </row>
    <row r="2555" spans="1:4" x14ac:dyDescent="0.2">
      <c r="A2555" s="5">
        <v>2494</v>
      </c>
      <c r="B2555" s="138">
        <f>'Acct Summary 7-8'!C8</f>
        <v>8998494</v>
      </c>
      <c r="C2555" s="2" t="s">
        <v>573</v>
      </c>
      <c r="D2555" s="2" t="str">
        <f t="shared" si="38"/>
        <v>Error?</v>
      </c>
    </row>
    <row r="2556" spans="1:4" x14ac:dyDescent="0.2">
      <c r="A2556" s="5">
        <v>2495</v>
      </c>
      <c r="B2556" s="138">
        <f>'Acct Summary 7-8'!C12</f>
        <v>5777477</v>
      </c>
      <c r="C2556" s="2" t="s">
        <v>573</v>
      </c>
      <c r="D2556" s="2" t="str">
        <f t="shared" si="38"/>
        <v>Error?</v>
      </c>
    </row>
    <row r="2557" spans="1:4" x14ac:dyDescent="0.2">
      <c r="A2557" s="5">
        <v>2496</v>
      </c>
      <c r="B2557" s="138">
        <f>'Acct Summary 7-8'!C13</f>
        <v>1701065</v>
      </c>
      <c r="C2557" s="2" t="s">
        <v>573</v>
      </c>
      <c r="D2557" s="2" t="str">
        <f t="shared" si="38"/>
        <v>Error?</v>
      </c>
    </row>
    <row r="2558" spans="1:4" x14ac:dyDescent="0.2">
      <c r="A2558" s="5">
        <v>2497</v>
      </c>
      <c r="B2558" s="138">
        <f>'Acct Summary 7-8'!C14</f>
        <v>39884</v>
      </c>
      <c r="C2558" s="2" t="s">
        <v>573</v>
      </c>
      <c r="D2558" s="2" t="str">
        <f t="shared" si="38"/>
        <v>Error?</v>
      </c>
    </row>
    <row r="2559" spans="1:4" x14ac:dyDescent="0.2">
      <c r="A2559" s="5">
        <v>2498</v>
      </c>
      <c r="B2559" s="138">
        <f>'Acct Summary 7-8'!C15</f>
        <v>737185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8255611</v>
      </c>
      <c r="C2561" s="2" t="s">
        <v>573</v>
      </c>
      <c r="D2561" s="2" t="str">
        <f t="shared" si="39"/>
        <v>Error?</v>
      </c>
    </row>
    <row r="2562" spans="1:4" x14ac:dyDescent="0.2">
      <c r="A2562" s="5">
        <v>2501</v>
      </c>
      <c r="B2562" s="138">
        <f>'Acct Summary 7-8'!C20</f>
        <v>742883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526713</v>
      </c>
      <c r="C2564" s="2" t="s">
        <v>573</v>
      </c>
      <c r="D2564" s="2" t="str">
        <f t="shared" si="39"/>
        <v>Error?</v>
      </c>
    </row>
    <row r="2565" spans="1:4" x14ac:dyDescent="0.2">
      <c r="A2565" s="10">
        <v>2504</v>
      </c>
      <c r="D2565" s="2" t="str">
        <f t="shared" si="39"/>
        <v>OK</v>
      </c>
    </row>
    <row r="2566" spans="1:4" x14ac:dyDescent="0.2">
      <c r="A2566" s="5">
        <v>2505</v>
      </c>
      <c r="B2566" s="138">
        <f>'Acct Summary 7-8'!D6</f>
        <v>469695</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996408</v>
      </c>
      <c r="C2568" s="2" t="s">
        <v>573</v>
      </c>
      <c r="D2568" s="2" t="str">
        <f t="shared" si="39"/>
        <v>Error?</v>
      </c>
    </row>
    <row r="2569" spans="1:4" x14ac:dyDescent="0.2">
      <c r="A2569" s="5">
        <v>2508</v>
      </c>
      <c r="B2569" s="138">
        <f>'Acct Summary 7-8'!D13</f>
        <v>983652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983652</v>
      </c>
      <c r="C2573" s="2" t="s">
        <v>573</v>
      </c>
      <c r="D2573" s="2" t="str">
        <f t="shared" si="39"/>
        <v>Error?</v>
      </c>
    </row>
    <row r="2574" spans="1:4" x14ac:dyDescent="0.2">
      <c r="A2574" s="5">
        <v>2513</v>
      </c>
      <c r="B2574" s="138">
        <f>'Acct Summary 7-8'!D20</f>
        <v>12756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243563</v>
      </c>
      <c r="C2591" s="2" t="s">
        <v>573</v>
      </c>
      <c r="D2591" s="2" t="str">
        <f t="shared" si="39"/>
        <v>Error?</v>
      </c>
    </row>
    <row r="2592" spans="1:4" x14ac:dyDescent="0.2">
      <c r="A2592" s="10">
        <v>2531</v>
      </c>
      <c r="D2592" s="2" t="str">
        <f t="shared" si="39"/>
        <v>OK</v>
      </c>
    </row>
    <row r="2593" spans="1:4" x14ac:dyDescent="0.2">
      <c r="A2593" s="5">
        <v>2532</v>
      </c>
      <c r="B2593" s="138">
        <f>'Acct Summary 7-8'!F6</f>
        <v>225062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468625</v>
      </c>
      <c r="C2595" s="2" t="s">
        <v>573</v>
      </c>
      <c r="D2595" s="2" t="str">
        <f t="shared" si="39"/>
        <v>Error?</v>
      </c>
    </row>
    <row r="2596" spans="1:4" x14ac:dyDescent="0.2">
      <c r="A2596" s="5">
        <v>2535</v>
      </c>
      <c r="B2596" s="138">
        <f>'Acct Summary 7-8'!F13</f>
        <v>432760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1035</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433795</v>
      </c>
      <c r="C2600" s="2" t="s">
        <v>573</v>
      </c>
      <c r="D2600" s="2" t="str">
        <f t="shared" si="39"/>
        <v>Error?</v>
      </c>
    </row>
    <row r="2601" spans="1:4" x14ac:dyDescent="0.2">
      <c r="A2601" s="5">
        <v>2540</v>
      </c>
      <c r="B2601" s="138">
        <f>'Acct Summary 7-8'!F20</f>
        <v>34830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148198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148198</v>
      </c>
      <c r="C2606" s="2" t="s">
        <v>573</v>
      </c>
      <c r="D2606" s="2" t="str">
        <f t="shared" si="39"/>
        <v>Error?</v>
      </c>
    </row>
    <row r="2607" spans="1:4" x14ac:dyDescent="0.2">
      <c r="A2607" s="5">
        <v>2546</v>
      </c>
      <c r="B2607" s="138">
        <f>'Acct Summary 7-8'!G12</f>
        <v>111189</v>
      </c>
      <c r="C2607" s="2" t="s">
        <v>573</v>
      </c>
      <c r="D2607" s="2" t="str">
        <f t="shared" si="39"/>
        <v>Error?</v>
      </c>
    </row>
    <row r="2608" spans="1:4" x14ac:dyDescent="0.2">
      <c r="A2608" s="5">
        <v>2547</v>
      </c>
      <c r="B2608" s="138">
        <f>'Acct Summary 7-8'!G13</f>
        <v>193261</v>
      </c>
      <c r="C2608" s="2" t="s">
        <v>573</v>
      </c>
      <c r="D2608" s="2" t="str">
        <f t="shared" si="39"/>
        <v>Error?</v>
      </c>
    </row>
    <row r="2609" spans="1:4" x14ac:dyDescent="0.2">
      <c r="A2609" s="5">
        <v>2548</v>
      </c>
      <c r="B2609" s="138">
        <f>'Acct Summary 7-8'!G14</f>
        <v>4156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308606</v>
      </c>
      <c r="C2612" s="2" t="s">
        <v>573</v>
      </c>
      <c r="D2612" s="2" t="str">
        <f t="shared" si="39"/>
        <v>Error?</v>
      </c>
    </row>
    <row r="2613" spans="1:4" x14ac:dyDescent="0.2">
      <c r="A2613" s="5">
        <v>2552</v>
      </c>
      <c r="B2613" s="138">
        <f>'Acct Summary 7-8'!G20</f>
        <v>-160408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426128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426128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333996</v>
      </c>
      <c r="C2634" s="2" t="s">
        <v>573</v>
      </c>
      <c r="D2634" s="2" t="str">
        <f t="shared" si="40"/>
        <v>Error?</v>
      </c>
    </row>
    <row r="2635" spans="1:4" x14ac:dyDescent="0.2">
      <c r="A2635" s="5">
        <v>2574</v>
      </c>
      <c r="B2635" s="138">
        <f>'Acct Summary 7-8'!E17</f>
        <v>333996</v>
      </c>
      <c r="C2635" s="2" t="s">
        <v>573</v>
      </c>
      <c r="D2635" s="2" t="str">
        <f t="shared" si="40"/>
        <v>Error?</v>
      </c>
    </row>
    <row r="2636" spans="1:4" x14ac:dyDescent="0.2">
      <c r="A2636" s="5">
        <v>2575</v>
      </c>
      <c r="B2636" s="138">
        <f>'Acct Summary 7-8'!E20</f>
        <v>92132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48058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48058</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48058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6963</v>
      </c>
      <c r="C2789" s="2" t="s">
        <v>573</v>
      </c>
      <c r="D2789" s="2" t="str">
        <f t="shared" si="42"/>
        <v>Error?</v>
      </c>
    </row>
    <row r="2790" spans="1:4" x14ac:dyDescent="0.2">
      <c r="A2790" s="5">
        <v>2729</v>
      </c>
      <c r="B2790" s="138">
        <f>'Expenditures 15-22'!E102</f>
        <v>6963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1035</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1035</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637330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1307148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76301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208489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1307148</v>
      </c>
      <c r="D2912" s="2" t="str">
        <f t="shared" si="44"/>
        <v>Error?</v>
      </c>
    </row>
    <row r="2913" spans="1:4" x14ac:dyDescent="0.2">
      <c r="A2913" s="5">
        <v>2852</v>
      </c>
      <c r="B2913" s="138">
        <f>'Assets-Liab 5-6'!I41</f>
        <v>1307148</v>
      </c>
      <c r="C2913" s="2" t="s">
        <v>573</v>
      </c>
      <c r="D2913" s="2" t="str">
        <f t="shared" si="44"/>
        <v>Error?</v>
      </c>
    </row>
    <row r="2914" spans="1:4" x14ac:dyDescent="0.2">
      <c r="A2914" s="5">
        <v>2853</v>
      </c>
      <c r="B2914" s="138">
        <f>'Assets-Liab 5-6'!L33</f>
        <v>208489</v>
      </c>
      <c r="D2914" s="2" t="str">
        <f t="shared" si="44"/>
        <v>Error?</v>
      </c>
    </row>
    <row r="2915" spans="1:4" x14ac:dyDescent="0.2">
      <c r="A2915" s="10">
        <v>2854</v>
      </c>
      <c r="D2915" s="2" t="str">
        <f t="shared" si="44"/>
        <v>OK</v>
      </c>
    </row>
    <row r="2916" spans="1:4" x14ac:dyDescent="0.2">
      <c r="A2916" s="5">
        <v>2855</v>
      </c>
      <c r="B2916" s="138">
        <f>'Assets-Liab 5-6'!L34</f>
        <v>208489</v>
      </c>
      <c r="C2916" s="2" t="s">
        <v>573</v>
      </c>
      <c r="D2916" s="2" t="str">
        <f t="shared" si="44"/>
        <v>Error?</v>
      </c>
    </row>
    <row r="2917" spans="1:4" x14ac:dyDescent="0.2">
      <c r="A2917" s="5">
        <v>2856</v>
      </c>
      <c r="B2917" s="138">
        <f>'Assets-Liab 5-6'!L41</f>
        <v>208489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650</v>
      </c>
      <c r="D2949" s="2" t="str">
        <f t="shared" si="45"/>
        <v>Error?</v>
      </c>
    </row>
    <row r="2950" spans="1:4" x14ac:dyDescent="0.2">
      <c r="A2950" s="5">
        <v>2889</v>
      </c>
      <c r="B2950" s="138">
        <f>'Expenditures 15-22'!E79</f>
        <v>6313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619472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11767</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650</v>
      </c>
      <c r="C2973" s="2" t="s">
        <v>573</v>
      </c>
      <c r="D2973" s="2" t="str">
        <f t="shared" si="45"/>
        <v>Error?</v>
      </c>
    </row>
    <row r="2974" spans="1:4" x14ac:dyDescent="0.2">
      <c r="A2974" s="5">
        <v>2913</v>
      </c>
      <c r="B2974" s="138">
        <f>'Expenditures 15-22'!K79</f>
        <v>625785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11767</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1035</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1035</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103342</v>
      </c>
      <c r="D3055" s="2" t="str">
        <f t="shared" si="46"/>
        <v>Error?</v>
      </c>
    </row>
    <row r="3056" spans="1:4" x14ac:dyDescent="0.2">
      <c r="A3056" s="5">
        <v>2995</v>
      </c>
      <c r="B3056" s="138">
        <f>'Expenditures 15-22'!D10</f>
        <v>4959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37863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146164</v>
      </c>
      <c r="C3062" s="2" t="s">
        <v>573</v>
      </c>
      <c r="D3062" s="2" t="str">
        <f t="shared" si="46"/>
        <v>Error?</v>
      </c>
    </row>
    <row r="3063" spans="1:4" x14ac:dyDescent="0.2">
      <c r="A3063" s="10">
        <v>3002</v>
      </c>
      <c r="D3063" s="2" t="str">
        <f t="shared" si="46"/>
        <v>OK</v>
      </c>
    </row>
    <row r="3064" spans="1:4" x14ac:dyDescent="0.2">
      <c r="A3064" s="5">
        <v>3003</v>
      </c>
      <c r="B3064" s="138">
        <f>'Expenditures 15-22'!D219</f>
        <v>16748</v>
      </c>
      <c r="D3064" s="2" t="str">
        <f t="shared" si="46"/>
        <v>Error?</v>
      </c>
    </row>
    <row r="3065" spans="1:4" x14ac:dyDescent="0.2">
      <c r="A3065" s="5">
        <v>3004</v>
      </c>
      <c r="B3065" s="138">
        <f>'Expenditures 15-22'!K219</f>
        <v>16748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55662</v>
      </c>
      <c r="C3225" s="2" t="s">
        <v>573</v>
      </c>
      <c r="D3225" s="2" t="str">
        <f t="shared" si="49"/>
        <v>Error?</v>
      </c>
    </row>
    <row r="3226" spans="1:4" x14ac:dyDescent="0.2">
      <c r="A3226" s="5">
        <v>3165</v>
      </c>
      <c r="B3226" s="138">
        <f>'Acct Summary 7-8'!I8</f>
        <v>55662</v>
      </c>
      <c r="C3226" s="2" t="s">
        <v>573</v>
      </c>
      <c r="D3226" s="2" t="str">
        <f t="shared" si="49"/>
        <v>Error?</v>
      </c>
    </row>
    <row r="3227" spans="1:4" x14ac:dyDescent="0.2">
      <c r="A3227" s="5">
        <v>3166</v>
      </c>
      <c r="B3227" s="138">
        <f>'Acct Summary 7-8'!I20</f>
        <v>55662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742883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12756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34830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-160408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92132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48058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55662</v>
      </c>
      <c r="C3320" s="2" t="s">
        <v>573</v>
      </c>
      <c r="D3320" s="2" t="str">
        <f t="shared" si="50"/>
        <v>Error?</v>
      </c>
    </row>
    <row r="3321" spans="1:4" x14ac:dyDescent="0.2">
      <c r="A3321" s="5">
        <v>3260</v>
      </c>
      <c r="B3321" s="138">
        <f>'Acct Summary 7-8'!I79</f>
        <v>1251486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1307148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561570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83623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2099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647292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54445</v>
      </c>
      <c r="D3387" s="2" t="str">
        <f t="shared" si="51"/>
        <v>Error?</v>
      </c>
    </row>
    <row r="3388" spans="1:4" x14ac:dyDescent="0.2">
      <c r="A3388" s="5">
        <v>3327</v>
      </c>
      <c r="B3388" s="138">
        <f>'Expenditures 15-22'!D217</f>
        <v>23839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54445</v>
      </c>
      <c r="C3390" s="2" t="s">
        <v>573</v>
      </c>
      <c r="D3390" s="2" t="str">
        <f t="shared" si="51"/>
        <v>Error?</v>
      </c>
    </row>
    <row r="3391" spans="1:4" x14ac:dyDescent="0.2">
      <c r="A3391" s="5">
        <v>3330</v>
      </c>
      <c r="B3391" s="138">
        <f>'Expenditures 15-22'!K217</f>
        <v>23839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1757815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122781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319658</v>
      </c>
      <c r="D3417" s="2" t="str">
        <f t="shared" si="52"/>
        <v>Error?</v>
      </c>
    </row>
    <row r="3418" spans="1:4" x14ac:dyDescent="0.2">
      <c r="A3418" s="10">
        <v>3357</v>
      </c>
      <c r="D3418" s="2" t="str">
        <f t="shared" si="52"/>
        <v>OK</v>
      </c>
    </row>
    <row r="3419" spans="1:4" x14ac:dyDescent="0.2">
      <c r="A3419" s="5">
        <v>3358</v>
      </c>
      <c r="B3419" s="138">
        <f>'Assets-Liab 5-6'!F4</f>
        <v>694788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27343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306915</v>
      </c>
      <c r="D3425" s="2" t="str">
        <f t="shared" si="52"/>
        <v>Error?</v>
      </c>
    </row>
    <row r="3426" spans="1:4" x14ac:dyDescent="0.2">
      <c r="A3426" s="10">
        <v>3365</v>
      </c>
      <c r="D3426" s="2" t="str">
        <f t="shared" si="52"/>
        <v>OK</v>
      </c>
    </row>
    <row r="3427" spans="1:4" x14ac:dyDescent="0.2">
      <c r="A3427" s="5">
        <v>3366</v>
      </c>
      <c r="B3427" s="138">
        <f>'Assets-Liab 5-6'!I4</f>
        <v>669818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132188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137219</v>
      </c>
      <c r="C3446" s="2" t="s">
        <v>573</v>
      </c>
      <c r="D3446" s="2" t="str">
        <f t="shared" si="52"/>
        <v>Error?</v>
      </c>
    </row>
    <row r="3447" spans="1:4" x14ac:dyDescent="0.2">
      <c r="A3447" s="5">
        <v>3386</v>
      </c>
      <c r="B3447" s="138">
        <f>'Tax Sched 23'!D16</f>
        <v>134316</v>
      </c>
      <c r="C3447" s="2" t="s">
        <v>573</v>
      </c>
      <c r="D3447" s="2" t="str">
        <f t="shared" si="52"/>
        <v>Error?</v>
      </c>
    </row>
    <row r="3448" spans="1:4" x14ac:dyDescent="0.2">
      <c r="A3448" s="5">
        <v>3387</v>
      </c>
      <c r="B3448" s="138">
        <f>'Tax Sched 23'!C16</f>
        <v>2903</v>
      </c>
      <c r="D3448" s="2" t="str">
        <f t="shared" si="52"/>
        <v>Error?</v>
      </c>
    </row>
    <row r="3449" spans="1:4" x14ac:dyDescent="0.2">
      <c r="A3449" s="5">
        <v>3388</v>
      </c>
      <c r="B3449" s="138">
        <f>'Tax Sched 23'!F16</f>
        <v>127272</v>
      </c>
      <c r="C3449" s="2" t="s">
        <v>573</v>
      </c>
      <c r="D3449" s="2" t="str">
        <f t="shared" si="52"/>
        <v>Error?</v>
      </c>
    </row>
    <row r="3450" spans="1:4" x14ac:dyDescent="0.2">
      <c r="A3450" s="5">
        <v>3389</v>
      </c>
      <c r="B3450" s="138">
        <f>'Tax Sched 23'!E16</f>
        <v>130175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159044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159044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159044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159044</v>
      </c>
      <c r="C3568" s="2" t="s">
        <v>573</v>
      </c>
      <c r="D3568" s="2" t="str">
        <f t="shared" si="54"/>
        <v>Error?</v>
      </c>
    </row>
    <row r="3569" spans="1:4" x14ac:dyDescent="0.2">
      <c r="A3569" s="5">
        <v>3508</v>
      </c>
      <c r="B3569" s="138">
        <f>'Acct Summary 7-8'!K4</f>
        <v>51601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51601</v>
      </c>
      <c r="C3571" s="2" t="s">
        <v>573</v>
      </c>
      <c r="D3571" s="2" t="str">
        <f t="shared" si="54"/>
        <v>Error?</v>
      </c>
    </row>
    <row r="3572" spans="1:4" x14ac:dyDescent="0.2">
      <c r="A3572" s="5">
        <v>3511</v>
      </c>
      <c r="B3572" s="138">
        <f>'Acct Summary 7-8'!K13</f>
        <v>5521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5521</v>
      </c>
      <c r="C3575" s="2" t="s">
        <v>573</v>
      </c>
      <c r="D3575" s="2" t="str">
        <f t="shared" si="54"/>
        <v>Error?</v>
      </c>
    </row>
    <row r="3576" spans="1:4" x14ac:dyDescent="0.2">
      <c r="A3576" s="5">
        <v>3515</v>
      </c>
      <c r="B3576" s="138">
        <f>'Acct Summary 7-8'!K20</f>
        <v>46080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46080</v>
      </c>
      <c r="C3588" s="2" t="s">
        <v>573</v>
      </c>
      <c r="D3588" s="2" t="str">
        <f t="shared" si="55"/>
        <v>Error?</v>
      </c>
    </row>
    <row r="3589" spans="1:4" x14ac:dyDescent="0.2">
      <c r="A3589" s="5">
        <v>3528</v>
      </c>
      <c r="B3589" s="138">
        <f>'Acct Summary 7-8'!K79</f>
        <v>112964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159044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2826</v>
      </c>
      <c r="D3632" s="2" t="str">
        <f t="shared" si="55"/>
        <v>Error?</v>
      </c>
    </row>
    <row r="3633" spans="1:4" x14ac:dyDescent="0.2">
      <c r="A3633" s="5">
        <v>3572</v>
      </c>
      <c r="B3633" s="138">
        <f>'Expenditures 15-22'!E350</f>
        <v>2826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2826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210</v>
      </c>
      <c r="D3639" s="2" t="str">
        <f t="shared" si="55"/>
        <v>Error?</v>
      </c>
    </row>
    <row r="3640" spans="1:4" x14ac:dyDescent="0.2">
      <c r="A3640" s="5">
        <v>3579</v>
      </c>
      <c r="B3640" s="138">
        <f>'Expenditures 15-22'!F350</f>
        <v>210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210</v>
      </c>
      <c r="C3642" s="2" t="s">
        <v>573</v>
      </c>
      <c r="D3642" s="2" t="str">
        <f t="shared" si="55"/>
        <v>Error?</v>
      </c>
    </row>
    <row r="3643" spans="1:4" x14ac:dyDescent="0.2">
      <c r="A3643" s="5">
        <v>3582</v>
      </c>
      <c r="B3643" s="138">
        <f>'Expenditures 15-22'!F367</f>
        <v>210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2485</v>
      </c>
      <c r="D3646" s="2" t="str">
        <f t="shared" si="55"/>
        <v>Error?</v>
      </c>
    </row>
    <row r="3647" spans="1:4" x14ac:dyDescent="0.2">
      <c r="A3647" s="5">
        <v>3586</v>
      </c>
      <c r="B3647" s="138">
        <f>'Expenditures 15-22'!G350</f>
        <v>2485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2485</v>
      </c>
      <c r="C3649" s="2" t="s">
        <v>573</v>
      </c>
      <c r="D3649" s="2" t="str">
        <f t="shared" si="56"/>
        <v>Error?</v>
      </c>
    </row>
    <row r="3650" spans="1:4" x14ac:dyDescent="0.2">
      <c r="A3650" s="5">
        <v>3589</v>
      </c>
      <c r="B3650" s="138">
        <f>'Expenditures 15-22'!G367</f>
        <v>2485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5521</v>
      </c>
      <c r="C3669" s="2" t="s">
        <v>573</v>
      </c>
      <c r="D3669" s="2" t="str">
        <f t="shared" si="56"/>
        <v>Error?</v>
      </c>
    </row>
    <row r="3670" spans="1:4" x14ac:dyDescent="0.2">
      <c r="A3670" s="5">
        <v>3609</v>
      </c>
      <c r="B3670" s="138">
        <f>'Expenditures 15-22'!K350</f>
        <v>5521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5521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5521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46080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228439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70382</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70382</v>
      </c>
      <c r="D4111" s="2" t="str">
        <f t="shared" si="63"/>
        <v>Error?</v>
      </c>
    </row>
    <row r="4112" spans="1:4" x14ac:dyDescent="0.2">
      <c r="A4112" s="10">
        <v>4051</v>
      </c>
      <c r="D4112" s="2" t="str">
        <f t="shared" si="63"/>
        <v>OK</v>
      </c>
    </row>
    <row r="4113" spans="1:4" x14ac:dyDescent="0.2">
      <c r="A4113" s="5">
        <v>4052</v>
      </c>
      <c r="B4113" s="138">
        <f>'Acct Summary 7-8'!C9</f>
        <v>3760323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12758817</v>
      </c>
      <c r="C4122" s="2" t="s">
        <v>573</v>
      </c>
      <c r="D4122" s="2" t="str">
        <f t="shared" si="63"/>
        <v>Error?</v>
      </c>
    </row>
    <row r="4123" spans="1:4" x14ac:dyDescent="0.2">
      <c r="A4123" s="5">
        <v>4062</v>
      </c>
      <c r="B4123" s="138">
        <f>'Acct Summary 7-8'!D10</f>
        <v>996408</v>
      </c>
      <c r="C4123" s="2" t="s">
        <v>573</v>
      </c>
      <c r="D4123" s="2" t="str">
        <f t="shared" si="63"/>
        <v>Error?</v>
      </c>
    </row>
    <row r="4124" spans="1:4" x14ac:dyDescent="0.2">
      <c r="A4124" s="5">
        <v>4063</v>
      </c>
      <c r="B4124" s="138">
        <f>'Acct Summary 7-8'!E10</f>
        <v>426128</v>
      </c>
      <c r="C4124" s="2" t="s">
        <v>573</v>
      </c>
      <c r="D4124" s="2" t="str">
        <f t="shared" si="63"/>
        <v>Error?</v>
      </c>
    </row>
    <row r="4125" spans="1:4" x14ac:dyDescent="0.2">
      <c r="A4125" s="5">
        <v>4064</v>
      </c>
      <c r="B4125" s="138">
        <f>'Acct Summary 7-8'!F10</f>
        <v>468625</v>
      </c>
      <c r="C4125" s="2" t="s">
        <v>573</v>
      </c>
      <c r="D4125" s="2" t="str">
        <f t="shared" si="63"/>
        <v>Error?</v>
      </c>
    </row>
    <row r="4126" spans="1:4" x14ac:dyDescent="0.2">
      <c r="A4126" s="5">
        <v>4065</v>
      </c>
      <c r="B4126" s="138">
        <f>'Acct Summary 7-8'!G10</f>
        <v>148198</v>
      </c>
      <c r="C4126" s="2" t="s">
        <v>573</v>
      </c>
      <c r="D4126" s="2" t="str">
        <f t="shared" si="63"/>
        <v>Error?</v>
      </c>
    </row>
    <row r="4127" spans="1:4" x14ac:dyDescent="0.2">
      <c r="A4127" s="5">
        <v>4066</v>
      </c>
      <c r="B4127" s="138">
        <f>'Acct Summary 7-8'!H10</f>
        <v>48058</v>
      </c>
      <c r="C4127" s="2" t="s">
        <v>573</v>
      </c>
      <c r="D4127" s="2" t="str">
        <f t="shared" si="63"/>
        <v>Error?</v>
      </c>
    </row>
    <row r="4128" spans="1:4" x14ac:dyDescent="0.2">
      <c r="A4128" s="5">
        <v>4067</v>
      </c>
      <c r="B4128" s="138">
        <f>'Acct Summary 7-8'!I10</f>
        <v>55662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51601</v>
      </c>
      <c r="C4130" s="2" t="s">
        <v>573</v>
      </c>
      <c r="D4130" s="2" t="str">
        <f t="shared" si="63"/>
        <v>Error?</v>
      </c>
    </row>
    <row r="4131" spans="1:4" x14ac:dyDescent="0.2">
      <c r="A4131" s="5">
        <v>4070</v>
      </c>
      <c r="B4131" s="138">
        <f>'Acct Summary 7-8'!C18</f>
        <v>3760323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12015934</v>
      </c>
      <c r="C4136" s="2" t="s">
        <v>573</v>
      </c>
      <c r="D4136" s="2" t="str">
        <f t="shared" si="63"/>
        <v>Error?</v>
      </c>
    </row>
    <row r="4137" spans="1:4" x14ac:dyDescent="0.2">
      <c r="A4137" s="5">
        <v>4076</v>
      </c>
      <c r="B4137" s="138">
        <f>'Acct Summary 7-8'!D19</f>
        <v>983652</v>
      </c>
      <c r="C4137" s="2" t="s">
        <v>573</v>
      </c>
      <c r="D4137" s="2" t="str">
        <f t="shared" si="63"/>
        <v>Error?</v>
      </c>
    </row>
    <row r="4138" spans="1:4" x14ac:dyDescent="0.2">
      <c r="A4138" s="5">
        <v>4077</v>
      </c>
      <c r="B4138" s="138">
        <f>'Acct Summary 7-8'!E19</f>
        <v>333996</v>
      </c>
      <c r="C4138" s="2" t="s">
        <v>573</v>
      </c>
      <c r="D4138" s="2" t="str">
        <f t="shared" si="63"/>
        <v>Error?</v>
      </c>
    </row>
    <row r="4139" spans="1:4" x14ac:dyDescent="0.2">
      <c r="A4139" s="5">
        <v>4078</v>
      </c>
      <c r="B4139" s="138">
        <f>'Acct Summary 7-8'!F19</f>
        <v>433795</v>
      </c>
      <c r="C4139" s="2" t="s">
        <v>573</v>
      </c>
      <c r="D4139" s="2" t="str">
        <f t="shared" si="63"/>
        <v>Error?</v>
      </c>
    </row>
    <row r="4140" spans="1:4" x14ac:dyDescent="0.2">
      <c r="A4140" s="5">
        <v>4079</v>
      </c>
      <c r="B4140" s="138">
        <f>'Acct Summary 7-8'!G19</f>
        <v>308606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5521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4280000</v>
      </c>
      <c r="C4171" s="2" t="s">
        <v>573</v>
      </c>
      <c r="D4171" s="2" t="str">
        <f t="shared" si="64"/>
        <v>Error?</v>
      </c>
    </row>
    <row r="4172" spans="1:4" x14ac:dyDescent="0.2">
      <c r="A4172" s="5">
        <v>4111</v>
      </c>
      <c r="B4172" s="138">
        <f>'Short-Term Long-Term Debt 24'!J49</f>
        <v>3960342</v>
      </c>
      <c r="C4172" s="2" t="s">
        <v>573</v>
      </c>
      <c r="D4172" s="2" t="str">
        <f t="shared" si="64"/>
        <v>Error?</v>
      </c>
    </row>
    <row r="4173" spans="1:4" x14ac:dyDescent="0.2">
      <c r="A4173" s="5">
        <v>4112</v>
      </c>
      <c r="B4173" s="138">
        <f>'Short-Term Long-Term Debt 24'!H49</f>
        <v>175000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3734.5299999999997</v>
      </c>
      <c r="C4265" s="2" t="s">
        <v>573</v>
      </c>
      <c r="D4265" s="2" t="str">
        <f t="shared" si="65"/>
        <v>Error?</v>
      </c>
      <c r="E4265" s="128"/>
    </row>
    <row r="4266" spans="1:5" x14ac:dyDescent="0.2">
      <c r="A4266" s="12">
        <v>4205</v>
      </c>
      <c r="B4266" s="138">
        <f>('FP Info 3'!F10)*100000</f>
        <v>830.62999999999988</v>
      </c>
      <c r="C4266" s="2" t="s">
        <v>573</v>
      </c>
      <c r="D4266" s="2" t="str">
        <f t="shared" si="65"/>
        <v>Error?</v>
      </c>
      <c r="E4266" s="128"/>
    </row>
    <row r="4267" spans="1:5" x14ac:dyDescent="0.2">
      <c r="A4267" s="12">
        <v>4206</v>
      </c>
      <c r="B4267" s="138">
        <f>('FP Info 3'!H10)*100000</f>
        <v>375.48</v>
      </c>
      <c r="C4267" s="2" t="s">
        <v>573</v>
      </c>
      <c r="D4267" s="2" t="str">
        <f t="shared" si="65"/>
        <v>Error?</v>
      </c>
      <c r="E4267" s="128"/>
    </row>
    <row r="4268" spans="1:5" x14ac:dyDescent="0.2">
      <c r="A4268" s="12">
        <v>4207</v>
      </c>
      <c r="B4268" s="138">
        <f>('FP Info 3'!J10)*100000</f>
        <v>4941</v>
      </c>
      <c r="C4268" s="2" t="s">
        <v>573</v>
      </c>
      <c r="D4268" s="2" t="str">
        <f t="shared" si="65"/>
        <v>Error?</v>
      </c>
    </row>
    <row r="4269" spans="1:5" x14ac:dyDescent="0.2">
      <c r="A4269" s="12">
        <v>4208</v>
      </c>
      <c r="B4269" s="138">
        <f>'FP Info 3'!J16</f>
        <v>3882532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16715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41524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6761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39680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84.12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4553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194695</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117169031</v>
      </c>
      <c r="D4995" s="2" t="str">
        <f t="shared" si="77"/>
        <v>Error?</v>
      </c>
    </row>
    <row r="4996" spans="1:4" x14ac:dyDescent="0.2">
      <c r="A4996" s="12">
        <v>4935</v>
      </c>
      <c r="B4996" s="138">
        <f>'FP Info 3'!H31</f>
        <v>16169326.278000001</v>
      </c>
      <c r="D4996" s="2" t="str">
        <f t="shared" si="77"/>
        <v>Error?</v>
      </c>
    </row>
    <row r="4997" spans="1:4" x14ac:dyDescent="0.2">
      <c r="A4997" s="12">
        <v>4936</v>
      </c>
      <c r="B4997" s="138">
        <f>'FP Info 3'!H37</f>
        <v>4280000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2266057</v>
      </c>
      <c r="D5061" s="2" t="str">
        <f t="shared" si="78"/>
        <v>Error?</v>
      </c>
    </row>
    <row r="5062" spans="1:4" x14ac:dyDescent="0.2">
      <c r="A5062" s="10">
        <v>5001</v>
      </c>
      <c r="D5062" s="2" t="str">
        <f t="shared" si="78"/>
        <v>OK</v>
      </c>
    </row>
    <row r="5063" spans="1:4" x14ac:dyDescent="0.2">
      <c r="A5063" s="5">
        <v>5002</v>
      </c>
      <c r="B5063" s="138">
        <f>'Revenues 9-14'!C7</f>
        <v>40283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2306340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191023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191023</v>
      </c>
      <c r="C5071" s="2" t="s">
        <v>573</v>
      </c>
      <c r="D5071" s="2" t="str">
        <f t="shared" si="78"/>
        <v>Error?</v>
      </c>
    </row>
    <row r="5072" spans="1:4" x14ac:dyDescent="0.2">
      <c r="A5072" s="5">
        <v>5011</v>
      </c>
      <c r="B5072" s="138">
        <f>'Revenues 9-14'!C20</f>
        <v>6091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6091</v>
      </c>
      <c r="C5087" s="2" t="s">
        <v>573</v>
      </c>
      <c r="D5087" s="2" t="str">
        <f t="shared" si="78"/>
        <v>Error?</v>
      </c>
    </row>
    <row r="5088" spans="1:4" x14ac:dyDescent="0.2">
      <c r="A5088" s="5">
        <v>5027</v>
      </c>
      <c r="B5088" s="138">
        <f>'Revenues 9-14'!C65</f>
        <v>8183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8183</v>
      </c>
      <c r="C5090" s="2" t="s">
        <v>573</v>
      </c>
      <c r="D5090" s="2" t="str">
        <f t="shared" si="78"/>
        <v>Error?</v>
      </c>
    </row>
    <row r="5091" spans="1:4" x14ac:dyDescent="0.2">
      <c r="A5091" s="5">
        <v>5030</v>
      </c>
      <c r="B5091" s="138">
        <f>'Revenues 9-14'!C70</f>
        <v>10542</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157819</v>
      </c>
      <c r="C5096" s="2" t="s">
        <v>573</v>
      </c>
      <c r="D5096" s="2" t="str">
        <f t="shared" si="78"/>
        <v>Error?</v>
      </c>
    </row>
    <row r="5097" spans="1:4" x14ac:dyDescent="0.2">
      <c r="A5097" s="5">
        <v>5036</v>
      </c>
      <c r="B5097" s="138">
        <f>'Revenues 9-14'!C77</f>
        <v>28396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72966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101362</v>
      </c>
      <c r="C5102" s="2" t="s">
        <v>573</v>
      </c>
      <c r="D5102" s="2" t="str">
        <f t="shared" si="78"/>
        <v>Error?</v>
      </c>
    </row>
    <row r="5103" spans="1:4" x14ac:dyDescent="0.2">
      <c r="A5103" s="5">
        <v>5042</v>
      </c>
      <c r="B5103" s="138">
        <f>'Revenues 9-14'!C84</f>
        <v>67876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67876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38184</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20647</v>
      </c>
      <c r="D5119" s="2" t="str">
        <f t="shared" ref="D5119:D5182" si="79">IF(ISBLANK(B5119),"OK",IF(A5119-B5119=0,"OK","Error?"))</f>
        <v>Error?</v>
      </c>
    </row>
    <row r="5120" spans="1:4" x14ac:dyDescent="0.2">
      <c r="A5120" s="5">
        <v>5059</v>
      </c>
      <c r="B5120" s="138">
        <f>'Revenues 9-14'!C108</f>
        <v>58831</v>
      </c>
      <c r="C5120" s="2" t="s">
        <v>573</v>
      </c>
      <c r="D5120" s="2" t="str">
        <f t="shared" si="79"/>
        <v>Error?</v>
      </c>
    </row>
    <row r="5121" spans="1:4" x14ac:dyDescent="0.2">
      <c r="A5121" s="5">
        <v>5060</v>
      </c>
      <c r="B5121" s="138">
        <f>'Revenues 9-14'!C109</f>
        <v>2897525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4696752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4696752</v>
      </c>
      <c r="C5132" s="2" t="s">
        <v>573</v>
      </c>
      <c r="D5132" s="2" t="str">
        <f t="shared" si="79"/>
        <v>Error?</v>
      </c>
    </row>
    <row r="5133" spans="1:4" x14ac:dyDescent="0.2">
      <c r="A5133" s="5">
        <v>5072</v>
      </c>
      <c r="B5133" s="138">
        <f>'Revenues 9-14'!C125</f>
        <v>58141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3231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61372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34686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60930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4244</v>
      </c>
      <c r="D5167" s="2" t="str">
        <f t="shared" si="79"/>
        <v>Error?</v>
      </c>
    </row>
    <row r="5168" spans="1:4" x14ac:dyDescent="0.2">
      <c r="A5168" s="5">
        <v>5107</v>
      </c>
      <c r="B5168" s="138">
        <f>'Revenues 9-14'!C148</f>
        <v>20080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304568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455747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5152499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197986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48085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246071</v>
      </c>
      <c r="C5246" s="2" t="s">
        <v>573</v>
      </c>
      <c r="D5246" s="2" t="str">
        <f t="shared" si="80"/>
        <v>Error?</v>
      </c>
    </row>
    <row r="5247" spans="1:4" x14ac:dyDescent="0.2">
      <c r="A5247" s="5">
        <v>5186</v>
      </c>
      <c r="B5247" s="138">
        <f>'Revenues 9-14'!C200</f>
        <v>240643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6761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240643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15746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330178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345924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11152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11152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948470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948470</v>
      </c>
      <c r="C5326" s="2" t="s">
        <v>573</v>
      </c>
      <c r="D5326" s="2" t="str">
        <f t="shared" si="82"/>
        <v>Error?</v>
      </c>
    </row>
    <row r="5327" spans="1:5" x14ac:dyDescent="0.2">
      <c r="A5327" s="5">
        <v>5266</v>
      </c>
      <c r="B5327" s="138">
        <f>'Revenues 9-14'!C268</f>
        <v>8998494</v>
      </c>
      <c r="C5327" s="2" t="s">
        <v>573</v>
      </c>
      <c r="D5327" s="2" t="str">
        <f t="shared" si="82"/>
        <v>Error?</v>
      </c>
    </row>
    <row r="5328" spans="1:5" x14ac:dyDescent="0.2">
      <c r="A5328" s="5">
        <v>5267</v>
      </c>
      <c r="B5328" s="138">
        <f>'Revenues 9-14'!D5</f>
        <v>504306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504306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755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755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21501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151</v>
      </c>
      <c r="D5354" s="2" t="str">
        <f t="shared" si="82"/>
        <v>Error?</v>
      </c>
    </row>
    <row r="5355" spans="1:4" x14ac:dyDescent="0.2">
      <c r="A5355" s="5">
        <v>5294</v>
      </c>
      <c r="B5355" s="138">
        <f>'Revenues 9-14'!D108</f>
        <v>21652</v>
      </c>
      <c r="C5355" s="2" t="s">
        <v>573</v>
      </c>
      <c r="D5355" s="2" t="str">
        <f t="shared" si="82"/>
        <v>Error?</v>
      </c>
    </row>
    <row r="5356" spans="1:4" x14ac:dyDescent="0.2">
      <c r="A5356" s="5">
        <v>5295</v>
      </c>
      <c r="B5356" s="138">
        <f>'Revenues 9-14'!D109</f>
        <v>526713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275000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469695</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469695</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996408</v>
      </c>
      <c r="C5508" s="2" t="s">
        <v>573</v>
      </c>
      <c r="D5508" s="2" t="str">
        <f t="shared" si="85"/>
        <v>Error?</v>
      </c>
    </row>
    <row r="5509" spans="1:4" x14ac:dyDescent="0.2">
      <c r="A5509" s="5">
        <v>5448</v>
      </c>
      <c r="B5509" s="138">
        <f>'Revenues 9-14'!E5</f>
        <v>159079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159079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1491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1491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265558</v>
      </c>
      <c r="C5526" s="2" t="s">
        <v>573</v>
      </c>
      <c r="D5526" s="2" t="str">
        <f t="shared" si="85"/>
        <v>Error?</v>
      </c>
    </row>
    <row r="5527" spans="1:4" x14ac:dyDescent="0.2">
      <c r="A5527" s="5">
        <v>5466</v>
      </c>
      <c r="B5527" s="138">
        <f>'Revenues 9-14'!E109</f>
        <v>426128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426128</v>
      </c>
      <c r="C5552" s="2" t="s">
        <v>573</v>
      </c>
      <c r="D5552" s="2" t="str">
        <f t="shared" si="85"/>
        <v>Error?</v>
      </c>
    </row>
    <row r="5553" spans="1:4" x14ac:dyDescent="0.2">
      <c r="A5553" s="5">
        <v>5492</v>
      </c>
      <c r="B5553" s="138">
        <f>'Revenues 9-14'!F5</f>
        <v>229967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229967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646</v>
      </c>
      <c r="D5563" s="2" t="str">
        <f t="shared" si="85"/>
        <v>Error?</v>
      </c>
    </row>
    <row r="5564" spans="1:4" x14ac:dyDescent="0.2">
      <c r="A5564" s="5">
        <v>5503</v>
      </c>
      <c r="B5564" s="138">
        <f>'Revenues 9-14'!F43</f>
        <v>5446</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4403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10495</v>
      </c>
      <c r="C5579" s="2" t="s">
        <v>573</v>
      </c>
      <c r="D5579" s="2" t="str">
        <f t="shared" si="86"/>
        <v>Error?</v>
      </c>
    </row>
    <row r="5580" spans="1:4" x14ac:dyDescent="0.2">
      <c r="A5580" s="5">
        <v>5519</v>
      </c>
      <c r="B5580" s="138">
        <f>'Revenues 9-14'!F65</f>
        <v>2909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2909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192</v>
      </c>
      <c r="D5586" s="2" t="str">
        <f t="shared" si="86"/>
        <v>Error?</v>
      </c>
    </row>
    <row r="5587" spans="1:4" x14ac:dyDescent="0.2">
      <c r="A5587" s="5">
        <v>5526</v>
      </c>
      <c r="B5587" s="138">
        <f>'Revenues 9-14'!F108</f>
        <v>192</v>
      </c>
      <c r="C5587" s="2" t="s">
        <v>573</v>
      </c>
      <c r="D5587" s="2" t="str">
        <f t="shared" si="86"/>
        <v>Error?</v>
      </c>
    </row>
    <row r="5588" spans="1:4" x14ac:dyDescent="0.2">
      <c r="A5588" s="5">
        <v>5527</v>
      </c>
      <c r="B5588" s="138">
        <f>'Revenues 9-14'!F109</f>
        <v>243563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111458</v>
      </c>
      <c r="D5615" s="2" t="str">
        <f t="shared" si="86"/>
        <v>Error?</v>
      </c>
    </row>
    <row r="5616" spans="1:4" x14ac:dyDescent="0.2">
      <c r="A5616" s="10">
        <v>5555</v>
      </c>
      <c r="D5616" s="2" t="str">
        <f t="shared" si="86"/>
        <v>OK</v>
      </c>
    </row>
    <row r="5617" spans="1:5" x14ac:dyDescent="0.2">
      <c r="A5617" s="5">
        <v>5556</v>
      </c>
      <c r="B5617" s="138">
        <f>'Revenues 9-14'!F153</f>
        <v>113604</v>
      </c>
      <c r="D5617" s="2" t="str">
        <f t="shared" si="86"/>
        <v>Error?</v>
      </c>
    </row>
    <row r="5618" spans="1:5" x14ac:dyDescent="0.2">
      <c r="A5618" s="5">
        <v>5557</v>
      </c>
      <c r="B5618" s="138">
        <f>'Revenues 9-14'!F155</f>
        <v>225062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225062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225062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468625</v>
      </c>
      <c r="C5720" s="2" t="s">
        <v>573</v>
      </c>
      <c r="D5720" s="2" t="str">
        <f t="shared" si="88"/>
        <v>Error?</v>
      </c>
    </row>
    <row r="5721" spans="1:4" x14ac:dyDescent="0.2">
      <c r="A5721" s="5">
        <v>5660</v>
      </c>
      <c r="B5721" s="138">
        <f>'Revenues 9-14'!G5</f>
        <v>1076</v>
      </c>
      <c r="D5721" s="2" t="str">
        <f t="shared" si="88"/>
        <v>Error?</v>
      </c>
    </row>
    <row r="5722" spans="1:4" x14ac:dyDescent="0.2">
      <c r="A5722" s="5">
        <v>5661</v>
      </c>
      <c r="B5722" s="138">
        <f>'Revenues 9-14'!G7</f>
        <v>0</v>
      </c>
      <c r="D5722" s="2" t="str">
        <f t="shared" si="88"/>
        <v>Error?</v>
      </c>
    </row>
    <row r="5723" spans="1:4" x14ac:dyDescent="0.2">
      <c r="A5723" s="5">
        <v>5662</v>
      </c>
      <c r="B5723" s="138">
        <f>'Revenues 9-14'!G8</f>
        <v>137219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138295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9364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9364</v>
      </c>
      <c r="C5730" s="2" t="s">
        <v>573</v>
      </c>
      <c r="D5730" s="2" t="str">
        <f t="shared" si="88"/>
        <v>Error?</v>
      </c>
    </row>
    <row r="5731" spans="1:4" x14ac:dyDescent="0.2">
      <c r="A5731" s="5">
        <v>5670</v>
      </c>
      <c r="B5731" s="138">
        <f>'Revenues 9-14'!G65</f>
        <v>539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539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148198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1031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1031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47027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48058</v>
      </c>
      <c r="C5915" s="2" t="s">
        <v>573</v>
      </c>
      <c r="D5915" s="2" t="str">
        <f t="shared" si="91"/>
        <v>Error?</v>
      </c>
    </row>
    <row r="5916" spans="1:4" x14ac:dyDescent="0.2">
      <c r="A5916" s="5">
        <v>5855</v>
      </c>
      <c r="B5916" s="138">
        <f>'Revenues 9-14'!I5</f>
        <v>51019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51019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4643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4643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55662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51006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51006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595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595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51601</v>
      </c>
      <c r="C6023" s="2" t="s">
        <v>573</v>
      </c>
      <c r="D6023" s="2" t="str">
        <f t="shared" si="93"/>
        <v>Error?</v>
      </c>
    </row>
    <row r="6024" spans="1:5" x14ac:dyDescent="0.2">
      <c r="A6024" s="5">
        <v>5963</v>
      </c>
      <c r="B6024" s="138">
        <f>'Revenues 9-14'!G109</f>
        <v>148198</v>
      </c>
      <c r="C6024" s="2" t="s">
        <v>573</v>
      </c>
      <c r="D6024" s="2" t="str">
        <f t="shared" si="93"/>
        <v>Error?</v>
      </c>
    </row>
    <row r="6025" spans="1:5" x14ac:dyDescent="0.2">
      <c r="A6025" s="5">
        <v>5964</v>
      </c>
      <c r="B6025" s="138">
        <f>'Revenues 9-14'!H109</f>
        <v>48058</v>
      </c>
      <c r="C6025" s="2" t="s">
        <v>573</v>
      </c>
      <c r="D6025" s="2" t="str">
        <f t="shared" si="93"/>
        <v>Error?</v>
      </c>
    </row>
    <row r="6026" spans="1:5" x14ac:dyDescent="0.2">
      <c r="A6026" s="5">
        <v>5965</v>
      </c>
      <c r="B6026" s="138">
        <f>'Revenues 9-14'!I109</f>
        <v>55662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51601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147277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28562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1182.9000000000001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125251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125251</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125251</v>
      </c>
      <c r="D6216" s="2" t="str">
        <f t="shared" si="96"/>
        <v>Error?</v>
      </c>
      <c r="E6216" s="2" t="s">
        <v>190</v>
      </c>
    </row>
    <row r="6217" spans="1:5" x14ac:dyDescent="0.2">
      <c r="A6217">
        <v>6156</v>
      </c>
      <c r="B6217" s="138">
        <f>'Assets-Liab 5-6'!J4</f>
        <v>125251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220918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220918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220918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172305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172305</v>
      </c>
      <c r="D6229" s="2" t="str">
        <f t="shared" si="96"/>
        <v>Error?</v>
      </c>
      <c r="E6229" s="2" t="s">
        <v>190</v>
      </c>
    </row>
    <row r="6230" spans="1:5" x14ac:dyDescent="0.2">
      <c r="A6230">
        <v>6169</v>
      </c>
      <c r="B6230" s="138">
        <f>'Acct Summary 7-8'!J20</f>
        <v>48613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48613</v>
      </c>
      <c r="D6263" s="2" t="str">
        <f t="shared" si="96"/>
        <v>Error?</v>
      </c>
      <c r="E6263" s="2" t="s">
        <v>190</v>
      </c>
    </row>
    <row r="6264" spans="1:5" x14ac:dyDescent="0.2">
      <c r="A6264">
        <v>6203</v>
      </c>
      <c r="B6264" s="138">
        <f>'Acct Summary 7-8'!J79</f>
        <v>76638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125251</v>
      </c>
      <c r="D6266" s="2" t="str">
        <f t="shared" si="96"/>
        <v>Error?</v>
      </c>
      <c r="E6266" s="2" t="s">
        <v>190</v>
      </c>
    </row>
    <row r="6267" spans="1:5" x14ac:dyDescent="0.2">
      <c r="A6267">
        <v>6206</v>
      </c>
      <c r="B6267" s="138">
        <f>'Acct Summary 7-8'!C82</f>
        <v>742883</v>
      </c>
      <c r="D6267" s="2" t="str">
        <f t="shared" si="96"/>
        <v>Error?</v>
      </c>
      <c r="E6267" s="2" t="s">
        <v>190</v>
      </c>
    </row>
    <row r="6268" spans="1:5" x14ac:dyDescent="0.2">
      <c r="A6268">
        <v>6207</v>
      </c>
      <c r="B6268" s="138">
        <f>'Acct Summary 7-8'!D82</f>
        <v>12756</v>
      </c>
      <c r="D6268" s="2" t="str">
        <f t="shared" si="96"/>
        <v>Error?</v>
      </c>
      <c r="E6268" s="2" t="s">
        <v>190</v>
      </c>
    </row>
    <row r="6269" spans="1:5" x14ac:dyDescent="0.2">
      <c r="A6269">
        <v>6208</v>
      </c>
      <c r="B6269" s="138">
        <f>'Acct Summary 7-8'!E82</f>
        <v>92132</v>
      </c>
      <c r="D6269" s="2" t="str">
        <f t="shared" si="96"/>
        <v>Error?</v>
      </c>
      <c r="E6269" s="2" t="s">
        <v>190</v>
      </c>
    </row>
    <row r="6270" spans="1:5" x14ac:dyDescent="0.2">
      <c r="A6270">
        <v>6209</v>
      </c>
      <c r="B6270" s="138">
        <f>'Acct Summary 7-8'!F82</f>
        <v>34830</v>
      </c>
      <c r="D6270" s="2" t="str">
        <f t="shared" si="96"/>
        <v>Error?</v>
      </c>
      <c r="E6270" s="2" t="s">
        <v>190</v>
      </c>
    </row>
    <row r="6271" spans="1:5" x14ac:dyDescent="0.2">
      <c r="A6271">
        <v>6210</v>
      </c>
      <c r="B6271" s="138">
        <f>'Acct Summary 7-8'!G82</f>
        <v>-160408</v>
      </c>
      <c r="D6271" s="2" t="str">
        <f t="shared" ref="D6271:D6334" si="97">IF(ISBLANK(B6271),"OK",IF(A6271-B6271=0,"OK","Error?"))</f>
        <v>Error?</v>
      </c>
      <c r="E6271" s="2" t="s">
        <v>190</v>
      </c>
    </row>
    <row r="6272" spans="1:5" x14ac:dyDescent="0.2">
      <c r="A6272">
        <v>6211</v>
      </c>
      <c r="B6272" s="138">
        <f>'Acct Summary 7-8'!H82</f>
        <v>48058</v>
      </c>
      <c r="D6272" s="2" t="str">
        <f t="shared" si="97"/>
        <v>Error?</v>
      </c>
      <c r="E6272" s="2" t="s">
        <v>190</v>
      </c>
    </row>
    <row r="6273" spans="1:5" x14ac:dyDescent="0.2">
      <c r="A6273">
        <v>6212</v>
      </c>
      <c r="B6273" s="138">
        <f>'Acct Summary 7-8'!I82</f>
        <v>55662</v>
      </c>
      <c r="D6273" s="2" t="str">
        <f t="shared" si="97"/>
        <v>Error?</v>
      </c>
      <c r="E6273" s="2" t="s">
        <v>190</v>
      </c>
    </row>
    <row r="6274" spans="1:5" x14ac:dyDescent="0.2">
      <c r="A6274">
        <v>6213</v>
      </c>
      <c r="B6274" s="138">
        <f>'Acct Summary 7-8'!J82</f>
        <v>48613</v>
      </c>
      <c r="D6274" s="2" t="str">
        <f t="shared" si="97"/>
        <v>Error?</v>
      </c>
      <c r="E6274" s="2" t="s">
        <v>190</v>
      </c>
    </row>
    <row r="6275" spans="1:5" x14ac:dyDescent="0.2">
      <c r="A6275">
        <v>6214</v>
      </c>
      <c r="B6275" s="138">
        <f>'Acct Summary 7-8'!K82</f>
        <v>46080</v>
      </c>
      <c r="D6275" s="2" t="str">
        <f t="shared" si="97"/>
        <v>Error?</v>
      </c>
      <c r="E6275" s="2" t="s">
        <v>190</v>
      </c>
    </row>
    <row r="6276" spans="1:5" x14ac:dyDescent="0.2">
      <c r="A6276">
        <v>6215</v>
      </c>
      <c r="B6276" s="138">
        <f>'Acct Summary 7-8'!C83</f>
        <v>0.42261728338875254</v>
      </c>
      <c r="D6276" s="2" t="str">
        <f t="shared" si="97"/>
        <v>Error?</v>
      </c>
      <c r="E6276" s="2" t="s">
        <v>190</v>
      </c>
    </row>
    <row r="6277" spans="1:5" x14ac:dyDescent="0.2">
      <c r="A6277">
        <v>6216</v>
      </c>
      <c r="B6277" s="138">
        <f>'Acct Summary 7-8'!D83</f>
        <v>0.10389229603928947</v>
      </c>
      <c r="D6277" s="2" t="str">
        <f t="shared" si="97"/>
        <v>Error?</v>
      </c>
      <c r="E6277" s="2" t="s">
        <v>190</v>
      </c>
    </row>
    <row r="6278" spans="1:5" x14ac:dyDescent="0.2">
      <c r="A6278">
        <v>6217</v>
      </c>
      <c r="B6278" s="138">
        <f>'Acct Summary 7-8'!E83</f>
        <v>0.28822053569752676</v>
      </c>
      <c r="D6278" s="2" t="str">
        <f t="shared" si="97"/>
        <v>Error?</v>
      </c>
      <c r="E6278" s="2" t="s">
        <v>190</v>
      </c>
    </row>
    <row r="6279" spans="1:5" x14ac:dyDescent="0.2">
      <c r="A6279">
        <v>6218</v>
      </c>
      <c r="B6279" s="138">
        <f>'Acct Summary 7-8'!F83</f>
        <v>5.0130399488764917E-2</v>
      </c>
      <c r="D6279" s="2" t="str">
        <f t="shared" si="97"/>
        <v>Error?</v>
      </c>
      <c r="E6279" s="2" t="s">
        <v>190</v>
      </c>
    </row>
    <row r="6280" spans="1:5" x14ac:dyDescent="0.2">
      <c r="A6280">
        <v>6219</v>
      </c>
      <c r="B6280" s="138">
        <f>'Acct Summary 7-8'!G83</f>
        <v>-5.8665106242914096</v>
      </c>
      <c r="D6280" s="2" t="str">
        <f t="shared" si="97"/>
        <v>Error?</v>
      </c>
      <c r="E6280" s="2" t="s">
        <v>190</v>
      </c>
    </row>
    <row r="6281" spans="1:5" x14ac:dyDescent="0.2">
      <c r="A6281">
        <v>6220</v>
      </c>
      <c r="B6281" s="138">
        <f>'Acct Summary 7-8'!H83</f>
        <v>0.15658407050812115</v>
      </c>
      <c r="D6281" s="2" t="str">
        <f t="shared" si="97"/>
        <v>Error?</v>
      </c>
      <c r="E6281" s="2" t="s">
        <v>190</v>
      </c>
    </row>
    <row r="6282" spans="1:5" x14ac:dyDescent="0.2">
      <c r="A6282">
        <v>6221</v>
      </c>
      <c r="B6282" s="138">
        <f>'Acct Summary 7-8'!I83</f>
        <v>4.2582783280852667E-2</v>
      </c>
      <c r="D6282" s="2" t="str">
        <f t="shared" si="97"/>
        <v>Error?</v>
      </c>
      <c r="E6282" s="2" t="s">
        <v>190</v>
      </c>
    </row>
    <row r="6283" spans="1:5" x14ac:dyDescent="0.2">
      <c r="A6283">
        <v>6222</v>
      </c>
      <c r="B6283" s="138">
        <f>'Acct Summary 7-8'!J83</f>
        <v>0.38812464571141148</v>
      </c>
      <c r="D6283" s="2" t="str">
        <f t="shared" si="97"/>
        <v>Error?</v>
      </c>
      <c r="E6283" s="2" t="s">
        <v>190</v>
      </c>
    </row>
    <row r="6284" spans="1:5" x14ac:dyDescent="0.2">
      <c r="A6284">
        <v>6223</v>
      </c>
      <c r="B6284" s="138">
        <f>'Acct Summary 7-8'!K83</f>
        <v>0.28973114358290786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220417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220417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501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501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220918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26244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137196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161234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650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650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650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98983</v>
      </c>
      <c r="D6983" s="2" t="str">
        <f t="shared" si="108"/>
        <v>Error?</v>
      </c>
    </row>
    <row r="6984" spans="1:4" x14ac:dyDescent="0.2">
      <c r="A6984">
        <v>6923</v>
      </c>
      <c r="B6984" s="138">
        <f>'Expenditures 15-22'!K86</f>
        <v>98983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98983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650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172305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220918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7684</v>
      </c>
      <c r="D7073" s="2" t="str">
        <f t="shared" si="109"/>
        <v>Error?</v>
      </c>
    </row>
    <row r="7074" spans="1:4" x14ac:dyDescent="0.2">
      <c r="A7074">
        <v>7013</v>
      </c>
      <c r="B7074" s="138">
        <f>'Expenditures 15-22'!K216</f>
        <v>7684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335</v>
      </c>
      <c r="D7089" s="2" t="str">
        <f t="shared" si="109"/>
        <v>Error?</v>
      </c>
    </row>
    <row r="7090" spans="1:4" x14ac:dyDescent="0.2">
      <c r="A7090">
        <v>7029</v>
      </c>
      <c r="B7090" s="138">
        <f>'Expenditures 15-22'!K252</f>
        <v>335</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65808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65808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1954</v>
      </c>
      <c r="D7154" s="2" t="str">
        <f t="shared" si="110"/>
        <v>Error?</v>
      </c>
    </row>
    <row r="7155" spans="1:4" x14ac:dyDescent="0.2">
      <c r="A7155">
        <v>7094</v>
      </c>
      <c r="B7155" s="138">
        <f>'Expenditures 15-22'!D323</f>
        <v>288</v>
      </c>
      <c r="D7155" s="2" t="str">
        <f t="shared" si="110"/>
        <v>Error?</v>
      </c>
    </row>
    <row r="7156" spans="1:4" x14ac:dyDescent="0.2">
      <c r="A7156">
        <v>7095</v>
      </c>
      <c r="B7156" s="138">
        <f>'Expenditures 15-22'!E323</f>
        <v>10000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12242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1954</v>
      </c>
      <c r="D7199" s="2" t="str">
        <f t="shared" si="111"/>
        <v>Error?</v>
      </c>
    </row>
    <row r="7200" spans="1:4" x14ac:dyDescent="0.2">
      <c r="A7200">
        <v>7139</v>
      </c>
      <c r="B7200" s="138">
        <f>'Expenditures 15-22'!D330</f>
        <v>288</v>
      </c>
      <c r="D7200" s="2" t="str">
        <f t="shared" si="111"/>
        <v>Error?</v>
      </c>
    </row>
    <row r="7201" spans="1:4" x14ac:dyDescent="0.2">
      <c r="A7201">
        <v>7140</v>
      </c>
      <c r="B7201" s="138">
        <f>'Expenditures 15-22'!E330</f>
        <v>170063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172305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1954</v>
      </c>
      <c r="D7216" s="2" t="str">
        <f t="shared" si="111"/>
        <v>Error?</v>
      </c>
    </row>
    <row r="7217" spans="1:4" x14ac:dyDescent="0.2">
      <c r="A7217">
        <v>7156</v>
      </c>
      <c r="B7217" s="138">
        <f>'Expenditures 15-22'!D342</f>
        <v>288</v>
      </c>
      <c r="D7217" s="2" t="str">
        <f t="shared" si="111"/>
        <v>Error?</v>
      </c>
    </row>
    <row r="7218" spans="1:4" x14ac:dyDescent="0.2">
      <c r="A7218">
        <v>7157</v>
      </c>
      <c r="B7218" s="138">
        <f>'Expenditures 15-22'!E342</f>
        <v>170063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172305</v>
      </c>
      <c r="D7224" s="2" t="str">
        <f t="shared" si="111"/>
        <v>Error?</v>
      </c>
    </row>
    <row r="7225" spans="1:4" x14ac:dyDescent="0.2">
      <c r="A7225">
        <v>7164</v>
      </c>
      <c r="B7225" s="138">
        <f>'Expenditures 15-22'!K343</f>
        <v>48613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16500</v>
      </c>
      <c r="D7246" s="2" t="str">
        <f t="shared" si="112"/>
        <v>Error?</v>
      </c>
    </row>
    <row r="7247" spans="1:4" x14ac:dyDescent="0.2">
      <c r="A7247">
        <f t="shared" si="113"/>
        <v>7186</v>
      </c>
      <c r="B7247" s="138">
        <f>'Expenditures 15-22'!E7</f>
        <v>1214</v>
      </c>
      <c r="D7247" s="2" t="str">
        <f t="shared" si="112"/>
        <v>Error?</v>
      </c>
    </row>
    <row r="7248" spans="1:4" x14ac:dyDescent="0.2">
      <c r="A7248">
        <f t="shared" si="113"/>
        <v>7187</v>
      </c>
      <c r="B7248" s="138">
        <f>'Expenditures 15-22'!F7</f>
        <v>6324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406158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94255</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94255</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258857</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1031</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47027</v>
      </c>
      <c r="D7713" s="2" t="str">
        <f t="shared" si="126"/>
        <v>Error?</v>
      </c>
      <c r="E7713" s="2" t="s">
        <v>827</v>
      </c>
    </row>
    <row r="7714" spans="1:6" x14ac:dyDescent="0.2">
      <c r="A7714">
        <v>7653</v>
      </c>
      <c r="B7714" s="138">
        <f>'Rest Tax Levies-Tort Im 25'!K9</f>
        <v>20080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48058</v>
      </c>
      <c r="D7718" s="2" t="str">
        <f t="shared" si="126"/>
        <v>Error?</v>
      </c>
      <c r="E7718" s="2" t="s">
        <v>827</v>
      </c>
    </row>
    <row r="7719" spans="1:6" x14ac:dyDescent="0.2">
      <c r="A7719">
        <v>7658</v>
      </c>
      <c r="B7719" s="138">
        <f>'Rest Tax Levies-Tort Im 25'!K12</f>
        <v>20080</v>
      </c>
      <c r="D7719" s="2" t="str">
        <f t="shared" si="126"/>
        <v>Error?</v>
      </c>
      <c r="E7719" s="2" t="s">
        <v>827</v>
      </c>
    </row>
    <row r="7720" spans="1:6" x14ac:dyDescent="0.2">
      <c r="A7720">
        <v>7659</v>
      </c>
      <c r="B7720" s="138">
        <f>'Rest Tax Levies-Tort Im 25'!H14</f>
        <v>40291</v>
      </c>
      <c r="D7720" s="2" t="str">
        <f t="shared" si="126"/>
        <v>Error?</v>
      </c>
      <c r="E7720" s="2" t="s">
        <v>827</v>
      </c>
    </row>
    <row r="7721" spans="1:6" x14ac:dyDescent="0.2">
      <c r="A7721">
        <v>7660</v>
      </c>
      <c r="B7721" s="138">
        <f>'Rest Tax Levies-Tort Im 25'!K14</f>
        <v>20080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265558</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47027</v>
      </c>
      <c r="D7731" s="2" t="str">
        <f t="shared" si="126"/>
        <v>Error?</v>
      </c>
      <c r="E7731" s="2" t="s">
        <v>827</v>
      </c>
    </row>
    <row r="7732" spans="1:6" x14ac:dyDescent="0.2">
      <c r="A7732">
        <v>7671</v>
      </c>
      <c r="B7732" s="138">
        <f>'Rest Tax Levies-Tort Im 25'!J24</f>
        <v>306915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306915</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0</v>
      </c>
      <c r="D7797" s="2" t="str">
        <f t="shared" si="127"/>
        <v>Error?</v>
      </c>
      <c r="E7797" s="4" t="s">
        <v>1901</v>
      </c>
    </row>
    <row r="7798" spans="1:5" x14ac:dyDescent="0.2">
      <c r="A7798">
        <v>7737</v>
      </c>
      <c r="B7798" s="138">
        <f>'Contracts Paid in CY 29'!F141</f>
        <v>0</v>
      </c>
      <c r="D7798" s="2" t="str">
        <f t="shared" si="127"/>
        <v>Error?</v>
      </c>
      <c r="E7798" s="4" t="s">
        <v>1901</v>
      </c>
    </row>
    <row r="7799" spans="1:5" x14ac:dyDescent="0.2">
      <c r="A7799">
        <v>7738</v>
      </c>
      <c r="B7799" s="138">
        <f>'Contracts Paid in CY 29'!G141</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C26" sqref="C2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1986</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STAUNTON CUSD 6</v>
      </c>
      <c r="B7" s="2384"/>
      <c r="C7" s="2384"/>
      <c r="D7" s="2421"/>
      <c r="E7" s="2422">
        <f>COVER!A13</f>
        <v>40056006026</v>
      </c>
      <c r="F7" s="2423"/>
      <c r="G7" s="2390" t="str">
        <f>COVER!T23</f>
        <v>060-003363</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LOY MILLER TALLEY, PC</v>
      </c>
      <c r="H9" s="2397"/>
      <c r="I9" s="2397"/>
      <c r="J9" s="2397"/>
      <c r="K9" s="2397"/>
      <c r="L9" s="2398"/>
    </row>
    <row r="10" spans="1:29" ht="13.5" customHeight="1" x14ac:dyDescent="0.2">
      <c r="A10" s="2380" t="str">
        <f>COVER!A38</f>
        <v>DAN COX</v>
      </c>
      <c r="B10" s="2381"/>
      <c r="C10" s="2381"/>
      <c r="D10" s="2381"/>
      <c r="E10" s="2381"/>
      <c r="F10" s="2382"/>
      <c r="G10" s="2396" t="str">
        <f>COVER!T17</f>
        <v>#2 CROSSROADS CT</v>
      </c>
      <c r="H10" s="2409"/>
      <c r="I10" s="2409"/>
      <c r="J10" s="2409"/>
      <c r="K10" s="2409"/>
      <c r="L10" s="2410"/>
    </row>
    <row r="11" spans="1:29" ht="13.5" customHeight="1" x14ac:dyDescent="0.2">
      <c r="A11" s="1184" t="s">
        <v>1519</v>
      </c>
      <c r="B11" s="1185"/>
      <c r="C11" s="1186"/>
      <c r="D11" s="1191"/>
      <c r="E11" s="1186"/>
      <c r="F11" s="1190"/>
      <c r="G11" s="2396" t="str">
        <f>COVER!T19</f>
        <v>ALTON</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KEN@LMTCPAS.COM</v>
      </c>
      <c r="J13" s="2418"/>
      <c r="K13" s="2418"/>
      <c r="L13" s="2419"/>
    </row>
    <row r="14" spans="1:29" ht="13.5" customHeight="1" x14ac:dyDescent="0.2">
      <c r="A14" s="2396" t="str">
        <f>COVER!A19</f>
        <v>801 N DENEEN ST</v>
      </c>
      <c r="B14" s="2409"/>
      <c r="C14" s="2409"/>
      <c r="D14" s="2409"/>
      <c r="E14" s="2409"/>
      <c r="F14" s="2410"/>
      <c r="G14" s="1195" t="s">
        <v>1185</v>
      </c>
      <c r="H14" s="1193"/>
      <c r="I14" s="1193"/>
      <c r="J14" s="1193"/>
      <c r="K14" s="1193"/>
      <c r="L14" s="1194"/>
    </row>
    <row r="15" spans="1:29" ht="13.5" customHeight="1" x14ac:dyDescent="0.2">
      <c r="A15" s="2396" t="str">
        <f>COVER!A21</f>
        <v>STAUNTON</v>
      </c>
      <c r="B15" s="2409"/>
      <c r="C15" s="2409"/>
      <c r="D15" s="2409"/>
      <c r="E15" s="2409"/>
      <c r="F15" s="2410"/>
      <c r="G15" s="2406" t="str">
        <f>COVER!T15</f>
        <v>KENNETH E. LOY, CPA</v>
      </c>
      <c r="H15" s="2407"/>
      <c r="I15" s="2407"/>
      <c r="J15" s="2407"/>
      <c r="K15" s="2407"/>
      <c r="L15" s="2408"/>
    </row>
    <row r="16" spans="1:29" ht="12.2" customHeight="1" x14ac:dyDescent="0.2">
      <c r="A16" s="2386">
        <f>COVER!A25</f>
        <v>62088</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618-465-1196</v>
      </c>
      <c r="H18" s="2384"/>
      <c r="I18" s="2384"/>
      <c r="J18" s="2384"/>
      <c r="K18" s="2383" t="str">
        <f>COVER!X21</f>
        <v>618-465-2900</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2061</v>
      </c>
      <c r="C26" s="1202" t="s">
        <v>1699</v>
      </c>
    </row>
    <row r="27" spans="1:13" s="1198" customFormat="1" ht="9" customHeight="1" x14ac:dyDescent="0.2">
      <c r="B27" s="1203"/>
      <c r="C27" s="1202"/>
    </row>
    <row r="28" spans="1:13" s="1198" customFormat="1" ht="12.2" customHeight="1" x14ac:dyDescent="0.2">
      <c r="A28" s="1205"/>
      <c r="B28" s="1201" t="s">
        <v>2061</v>
      </c>
      <c r="C28" s="1202" t="s">
        <v>1700</v>
      </c>
    </row>
    <row r="29" spans="1:13" s="1198" customFormat="1" ht="9" customHeight="1" x14ac:dyDescent="0.2">
      <c r="A29" s="1205"/>
      <c r="B29" s="1203"/>
      <c r="C29" s="1202"/>
    </row>
    <row r="30" spans="1:13" s="1198" customFormat="1" ht="12.2" customHeight="1" x14ac:dyDescent="0.2">
      <c r="B30" s="1201" t="s">
        <v>2061</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2061</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2061</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2061</v>
      </c>
      <c r="C38" s="1202" t="s">
        <v>1566</v>
      </c>
    </row>
    <row r="39" spans="1:8" ht="9" customHeight="1" x14ac:dyDescent="0.2">
      <c r="B39" s="1203"/>
      <c r="C39" s="1206"/>
    </row>
    <row r="40" spans="1:8" s="1198" customFormat="1" ht="13.5" customHeight="1" x14ac:dyDescent="0.2">
      <c r="B40" s="1201" t="s">
        <v>2061</v>
      </c>
      <c r="C40" s="1202" t="s">
        <v>1567</v>
      </c>
    </row>
    <row r="41" spans="1:8" ht="9" customHeight="1" x14ac:dyDescent="0.2">
      <c r="A41" s="1207"/>
      <c r="B41" s="1203"/>
      <c r="C41" s="1206"/>
    </row>
    <row r="42" spans="1:8" s="1198" customFormat="1" ht="13.5" customHeight="1" x14ac:dyDescent="0.2">
      <c r="B42" s="1201" t="s">
        <v>2061</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2061</v>
      </c>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46" sqref="B46"/>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STAUNTON CUSD 6</v>
      </c>
      <c r="B1" s="2420"/>
      <c r="C1" s="2420"/>
      <c r="D1" s="2420"/>
    </row>
    <row r="2" spans="1:11" s="1212" customFormat="1" ht="12.75" x14ac:dyDescent="0.2">
      <c r="A2" s="2425">
        <f>'Single Audit Cover'!E7</f>
        <v>40056006026</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4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STAUNTON CUSD 6</v>
      </c>
      <c r="B1" s="2428"/>
      <c r="C1" s="2428"/>
      <c r="D1" s="2428"/>
      <c r="E1" s="2428"/>
    </row>
    <row r="2" spans="1:5" x14ac:dyDescent="0.2">
      <c r="A2" s="2429">
        <f>'Single Audit Cover'!E7</f>
        <v>40056006026</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948470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28562</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-41524</v>
      </c>
    </row>
    <row r="19" spans="1:4" ht="13.5" thickBot="1" x14ac:dyDescent="0.25">
      <c r="A19" s="1262" t="s">
        <v>1235</v>
      </c>
      <c r="D19" s="1263">
        <f>SUM(D10:D17)</f>
        <v>935508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935508</v>
      </c>
    </row>
    <row r="33" spans="1:4" x14ac:dyDescent="0.2">
      <c r="D33" s="1266"/>
    </row>
    <row r="34" spans="1:4" x14ac:dyDescent="0.2">
      <c r="A34" s="317" t="s">
        <v>1232</v>
      </c>
    </row>
    <row r="35" spans="1:4" x14ac:dyDescent="0.2">
      <c r="A35" s="317" t="s">
        <v>1231</v>
      </c>
      <c r="B35" s="1255" t="s">
        <v>1230</v>
      </c>
      <c r="D35" s="1267">
        <f>' SEFA (5)'!F27</f>
        <v>935508</v>
      </c>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935508</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M46" sqref="A1:M4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STAUNTON CUSD 6</v>
      </c>
      <c r="C1" s="2432"/>
      <c r="D1" s="2432"/>
      <c r="E1" s="2432"/>
      <c r="F1" s="2432"/>
      <c r="G1" s="2432"/>
      <c r="H1" s="2432"/>
      <c r="I1" s="2432"/>
      <c r="J1" s="2432"/>
      <c r="K1" s="2432"/>
      <c r="L1" s="2432"/>
      <c r="M1" s="2432"/>
    </row>
    <row r="2" spans="2:14" ht="15" x14ac:dyDescent="0.2">
      <c r="B2" s="2433">
        <f>'Single Audit Cover'!E7</f>
        <v>40056006026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2091</v>
      </c>
      <c r="C11" s="1335"/>
      <c r="D11" s="1336"/>
      <c r="E11" s="1337"/>
      <c r="F11" s="1337"/>
      <c r="G11" s="1337"/>
      <c r="H11" s="1337"/>
      <c r="I11" s="1337"/>
      <c r="J11" s="1337"/>
      <c r="K11" s="1337"/>
      <c r="L11" s="1337">
        <f>+G11+I11+K11</f>
        <v>0</v>
      </c>
      <c r="M11" s="1337"/>
    </row>
    <row r="12" spans="2:14" ht="20.100000000000001" customHeight="1" x14ac:dyDescent="0.2">
      <c r="B12" s="1334" t="s">
        <v>2092</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2093</v>
      </c>
      <c r="C14" s="1338">
        <v>10.555</v>
      </c>
      <c r="D14" s="1339" t="s">
        <v>2100</v>
      </c>
      <c r="E14" s="1340"/>
      <c r="F14" s="1340">
        <v>164251</v>
      </c>
      <c r="G14" s="1340"/>
      <c r="H14" s="1340"/>
      <c r="I14" s="1340">
        <v>164251</v>
      </c>
      <c r="J14" s="1340"/>
      <c r="K14" s="1340"/>
      <c r="L14" s="1337">
        <f t="shared" si="0"/>
        <v>164251</v>
      </c>
      <c r="M14" s="1340" t="s">
        <v>2105</v>
      </c>
    </row>
    <row r="15" spans="2:14" ht="20.100000000000001" customHeight="1" x14ac:dyDescent="0.2">
      <c r="B15" s="1334" t="s">
        <v>2094</v>
      </c>
      <c r="C15" s="1338">
        <v>10.555</v>
      </c>
      <c r="D15" s="1339" t="s">
        <v>2101</v>
      </c>
      <c r="E15" s="1340">
        <v>154672</v>
      </c>
      <c r="F15" s="1340">
        <v>33734</v>
      </c>
      <c r="G15" s="1340">
        <v>154672</v>
      </c>
      <c r="H15" s="1340"/>
      <c r="I15" s="1340">
        <v>33734</v>
      </c>
      <c r="J15" s="1340"/>
      <c r="K15" s="1340"/>
      <c r="L15" s="1337">
        <f t="shared" si="0"/>
        <v>188406</v>
      </c>
      <c r="M15" s="1340" t="s">
        <v>2105</v>
      </c>
    </row>
    <row r="16" spans="2:14" ht="20.100000000000001" customHeight="1" x14ac:dyDescent="0.2">
      <c r="B16" s="1334" t="s">
        <v>2095</v>
      </c>
      <c r="C16" s="1338">
        <v>10.553000000000001</v>
      </c>
      <c r="D16" s="1339" t="s">
        <v>2102</v>
      </c>
      <c r="E16" s="1340"/>
      <c r="F16" s="1340">
        <v>39938</v>
      </c>
      <c r="G16" s="1340"/>
      <c r="H16" s="1340"/>
      <c r="I16" s="1340">
        <v>39938</v>
      </c>
      <c r="J16" s="1340"/>
      <c r="K16" s="1340"/>
      <c r="L16" s="1337">
        <f t="shared" si="0"/>
        <v>39938</v>
      </c>
      <c r="M16" s="1340" t="s">
        <v>2105</v>
      </c>
    </row>
    <row r="17" spans="2:14" ht="20.100000000000001" customHeight="1" x14ac:dyDescent="0.2">
      <c r="B17" s="1334" t="s">
        <v>2096</v>
      </c>
      <c r="C17" s="1338">
        <v>10.553000000000001</v>
      </c>
      <c r="D17" s="1339" t="s">
        <v>2103</v>
      </c>
      <c r="E17" s="1340">
        <v>42812</v>
      </c>
      <c r="F17" s="1340">
        <v>8147</v>
      </c>
      <c r="G17" s="1340">
        <v>42812</v>
      </c>
      <c r="H17" s="1340"/>
      <c r="I17" s="1340">
        <v>8147</v>
      </c>
      <c r="J17" s="1340"/>
      <c r="K17" s="1340"/>
      <c r="L17" s="1337">
        <f t="shared" si="0"/>
        <v>50959</v>
      </c>
      <c r="M17" s="1340" t="s">
        <v>2105</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2106</v>
      </c>
      <c r="C19" s="1338"/>
      <c r="D19" s="1339"/>
      <c r="E19" s="1340">
        <f>SUM(E14:E17)</f>
        <v>197484</v>
      </c>
      <c r="F19" s="1340">
        <f t="shared" ref="F19:K19" si="1">SUM(F14:F17)</f>
        <v>246070</v>
      </c>
      <c r="G19" s="1340">
        <f t="shared" si="1"/>
        <v>197484</v>
      </c>
      <c r="H19" s="1340">
        <f t="shared" si="1"/>
        <v>0</v>
      </c>
      <c r="I19" s="1340">
        <f t="shared" si="1"/>
        <v>246070</v>
      </c>
      <c r="J19" s="1340">
        <f t="shared" si="1"/>
        <v>0</v>
      </c>
      <c r="K19" s="1340">
        <f t="shared" si="1"/>
        <v>0</v>
      </c>
      <c r="L19" s="1337">
        <f t="shared" si="0"/>
        <v>443554</v>
      </c>
      <c r="M19" s="1340">
        <f>SUM(M14:M17)</f>
        <v>0</v>
      </c>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2097</v>
      </c>
      <c r="C21" s="1338">
        <v>10.565</v>
      </c>
      <c r="D21" s="1339" t="s">
        <v>2104</v>
      </c>
      <c r="E21" s="1340"/>
      <c r="F21" s="1340">
        <v>15674</v>
      </c>
      <c r="G21" s="1340"/>
      <c r="H21" s="1340"/>
      <c r="I21" s="1340">
        <v>15674</v>
      </c>
      <c r="J21" s="1340"/>
      <c r="K21" s="1340"/>
      <c r="L21" s="1337">
        <f t="shared" si="0"/>
        <v>15674</v>
      </c>
      <c r="M21" s="1340" t="s">
        <v>2105</v>
      </c>
    </row>
    <row r="22" spans="2:14" ht="20.100000000000001" customHeight="1" x14ac:dyDescent="0.2">
      <c r="B22" s="1334" t="s">
        <v>2098</v>
      </c>
      <c r="C22" s="1338">
        <v>10.582000000000001</v>
      </c>
      <c r="D22" s="1339" t="s">
        <v>2104</v>
      </c>
      <c r="E22" s="1340"/>
      <c r="F22" s="1340">
        <v>12888</v>
      </c>
      <c r="G22" s="1340"/>
      <c r="H22" s="1340"/>
      <c r="I22" s="1340">
        <v>12888</v>
      </c>
      <c r="J22" s="1340"/>
      <c r="K22" s="1340"/>
      <c r="L22" s="1337">
        <f t="shared" si="0"/>
        <v>12888</v>
      </c>
      <c r="M22" s="1340" t="s">
        <v>2105</v>
      </c>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2099</v>
      </c>
      <c r="C27" s="1338"/>
      <c r="D27" s="1339"/>
      <c r="E27" s="1340">
        <f>SUM(E19:E26)</f>
        <v>197484</v>
      </c>
      <c r="F27" s="1340">
        <f t="shared" ref="F27:K27" si="2">SUM(F19:F26)</f>
        <v>274632</v>
      </c>
      <c r="G27" s="1340">
        <f t="shared" si="2"/>
        <v>197484</v>
      </c>
      <c r="H27" s="1340">
        <f t="shared" si="2"/>
        <v>0</v>
      </c>
      <c r="I27" s="1340">
        <f t="shared" si="2"/>
        <v>274632</v>
      </c>
      <c r="J27" s="1340">
        <f t="shared" si="2"/>
        <v>0</v>
      </c>
      <c r="K27" s="1340">
        <f t="shared" si="2"/>
        <v>0</v>
      </c>
      <c r="L27" s="1337">
        <f t="shared" si="0"/>
        <v>472116</v>
      </c>
      <c r="M27" s="1340">
        <f>SUM(M19:M26)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4D24B-35CB-49D8-83AB-ACE10F6043F6}">
  <dimension ref="B1:N152"/>
  <sheetViews>
    <sheetView showGridLines="0" zoomScaleNormal="100" workbookViewId="0">
      <selection activeCell="H15" sqref="H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STAUNTON CUSD 6</v>
      </c>
      <c r="C1" s="2432"/>
      <c r="D1" s="2432"/>
      <c r="E1" s="2432"/>
      <c r="F1" s="2432"/>
      <c r="G1" s="2432"/>
      <c r="H1" s="2432"/>
      <c r="I1" s="2432"/>
      <c r="J1" s="2432"/>
      <c r="K1" s="2432"/>
      <c r="L1" s="2432"/>
      <c r="M1" s="2432"/>
    </row>
    <row r="2" spans="2:14" ht="15" x14ac:dyDescent="0.2">
      <c r="B2" s="2433">
        <f>'Single Audit Cover'!E7</f>
        <v>40056006026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2107</v>
      </c>
      <c r="C11" s="1335"/>
      <c r="D11" s="1336"/>
      <c r="E11" s="1337"/>
      <c r="F11" s="1337"/>
      <c r="G11" s="1337"/>
      <c r="H11" s="1337"/>
      <c r="I11" s="1337"/>
      <c r="J11" s="1337"/>
      <c r="K11" s="1337"/>
      <c r="L11" s="1337">
        <f>+G11+I11+K11</f>
        <v>0</v>
      </c>
      <c r="M11" s="1337"/>
    </row>
    <row r="12" spans="2:14" ht="20.100000000000001" customHeight="1" x14ac:dyDescent="0.2">
      <c r="B12" s="1334" t="s">
        <v>2108</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2109</v>
      </c>
      <c r="C14" s="1338">
        <v>84.01</v>
      </c>
      <c r="D14" s="1339" t="s">
        <v>2116</v>
      </c>
      <c r="E14" s="1340"/>
      <c r="F14" s="1340">
        <v>123107</v>
      </c>
      <c r="G14" s="1340"/>
      <c r="H14" s="1340"/>
      <c r="I14" s="1340">
        <v>194659</v>
      </c>
      <c r="J14" s="1340"/>
      <c r="K14" s="1340"/>
      <c r="L14" s="1337">
        <f t="shared" si="0"/>
        <v>194659</v>
      </c>
      <c r="M14" s="1340">
        <v>249635</v>
      </c>
    </row>
    <row r="15" spans="2:14" ht="20.100000000000001" customHeight="1" x14ac:dyDescent="0.2">
      <c r="B15" s="1334" t="s">
        <v>2110</v>
      </c>
      <c r="C15" s="1338">
        <v>84.01</v>
      </c>
      <c r="D15" s="1339" t="s">
        <v>2115</v>
      </c>
      <c r="E15" s="1340">
        <v>116503</v>
      </c>
      <c r="F15" s="1340">
        <v>106544</v>
      </c>
      <c r="G15" s="1340"/>
      <c r="H15" s="1340"/>
      <c r="I15" s="1340"/>
      <c r="J15" s="1340"/>
      <c r="K15" s="1340"/>
      <c r="L15" s="1337">
        <f t="shared" si="0"/>
        <v>0</v>
      </c>
      <c r="M15" s="1340">
        <v>253435</v>
      </c>
    </row>
    <row r="16" spans="2:14" ht="20.100000000000001" customHeight="1" x14ac:dyDescent="0.2">
      <c r="B16" s="1334" t="s">
        <v>2142</v>
      </c>
      <c r="C16" s="1338">
        <v>84.376999999999995</v>
      </c>
      <c r="D16" s="1339" t="s">
        <v>2143</v>
      </c>
      <c r="E16" s="1340"/>
      <c r="F16" s="1340">
        <v>10992</v>
      </c>
      <c r="G16" s="1340"/>
      <c r="H16" s="1340"/>
      <c r="I16" s="1340">
        <v>25871</v>
      </c>
      <c r="J16" s="1340"/>
      <c r="K16" s="1340">
        <v>67105</v>
      </c>
      <c r="L16" s="1337">
        <f t="shared" si="0"/>
        <v>92976</v>
      </c>
      <c r="M16" s="1340"/>
    </row>
    <row r="17" spans="2:14" ht="20.100000000000001" customHeight="1" x14ac:dyDescent="0.2">
      <c r="B17" s="1334" t="s">
        <v>2111</v>
      </c>
      <c r="C17" s="1338">
        <v>84.367000000000004</v>
      </c>
      <c r="D17" s="1339" t="s">
        <v>2117</v>
      </c>
      <c r="E17" s="1340"/>
      <c r="F17" s="1340">
        <v>27822</v>
      </c>
      <c r="G17" s="1340"/>
      <c r="H17" s="1340"/>
      <c r="I17" s="1340">
        <v>45134</v>
      </c>
      <c r="J17" s="1340"/>
      <c r="K17" s="1340"/>
      <c r="L17" s="1337">
        <f t="shared" si="0"/>
        <v>45134</v>
      </c>
      <c r="M17" s="1340">
        <v>47968</v>
      </c>
    </row>
    <row r="18" spans="2:14" ht="20.100000000000001" customHeight="1" x14ac:dyDescent="0.2">
      <c r="B18" s="1334" t="s">
        <v>2111</v>
      </c>
      <c r="C18" s="1338">
        <v>84.367000000000004</v>
      </c>
      <c r="D18" s="1339" t="s">
        <v>2118</v>
      </c>
      <c r="E18" s="1340">
        <v>32316</v>
      </c>
      <c r="F18" s="1340">
        <v>11858</v>
      </c>
      <c r="G18" s="1340"/>
      <c r="H18" s="1340"/>
      <c r="I18" s="1340"/>
      <c r="J18" s="1340"/>
      <c r="K18" s="1340"/>
      <c r="L18" s="1337">
        <f>+G18+I18+K18</f>
        <v>0</v>
      </c>
      <c r="M18" s="1340">
        <v>54675</v>
      </c>
    </row>
    <row r="19" spans="2:14" ht="20.100000000000001" customHeight="1" x14ac:dyDescent="0.2">
      <c r="B19" s="1334" t="s">
        <v>2113</v>
      </c>
      <c r="C19" s="1338">
        <v>84.424000000000007</v>
      </c>
      <c r="D19" s="1339" t="s">
        <v>2114</v>
      </c>
      <c r="E19" s="1340"/>
      <c r="F19" s="1340">
        <v>6761</v>
      </c>
      <c r="G19" s="1340"/>
      <c r="H19" s="1340"/>
      <c r="I19" s="1340">
        <v>19754</v>
      </c>
      <c r="J19" s="1340"/>
      <c r="K19" s="1340"/>
      <c r="L19" s="1337">
        <f t="shared" si="0"/>
        <v>19754</v>
      </c>
      <c r="M19" s="1340">
        <v>22939</v>
      </c>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2112</v>
      </c>
      <c r="C27" s="1338"/>
      <c r="D27" s="1339"/>
      <c r="E27" s="1340">
        <f>SUM(E13:E26)</f>
        <v>148819</v>
      </c>
      <c r="F27" s="1340">
        <f t="shared" ref="F27:K27" si="1">SUM(F13:F26)</f>
        <v>287084</v>
      </c>
      <c r="G27" s="1340">
        <f t="shared" si="1"/>
        <v>0</v>
      </c>
      <c r="H27" s="1340">
        <f t="shared" si="1"/>
        <v>0</v>
      </c>
      <c r="I27" s="1340">
        <f t="shared" si="1"/>
        <v>285418</v>
      </c>
      <c r="J27" s="1340">
        <f t="shared" si="1"/>
        <v>0</v>
      </c>
      <c r="K27" s="1340">
        <f t="shared" si="1"/>
        <v>67105</v>
      </c>
      <c r="L27" s="1337">
        <f t="shared" si="0"/>
        <v>352523</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I84"/>
  <sheetViews>
    <sheetView showGridLines="0" topLeftCell="A58"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2" t="s">
        <v>1065</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691</v>
      </c>
      <c r="B40" s="2079"/>
      <c r="C40" s="2079"/>
      <c r="D40" s="2079"/>
      <c r="E40" s="2079"/>
    </row>
    <row r="41" spans="1:5" x14ac:dyDescent="0.2">
      <c r="A41" s="2080" t="s">
        <v>1608</v>
      </c>
      <c r="B41" s="2080"/>
      <c r="C41" s="2080"/>
      <c r="D41" s="2080"/>
      <c r="E41" s="2080"/>
    </row>
    <row r="42" spans="1:5" ht="12.75" customHeight="1" x14ac:dyDescent="0.2">
      <c r="A42" s="2081" t="s">
        <v>1022</v>
      </c>
      <c r="B42" s="2081"/>
      <c r="C42" s="2081"/>
      <c r="D42" s="2081"/>
      <c r="E42" s="208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8B407-9E20-4937-8D6B-8F83971B4882}">
  <sheetPr>
    <pageSetUpPr fitToPage="1"/>
  </sheetPr>
  <dimension ref="B1:N152"/>
  <sheetViews>
    <sheetView showGridLines="0" topLeftCell="A22" zoomScaleNormal="100" workbookViewId="0">
      <selection activeCell="F7" sqref="F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STAUNTON CUSD 6</v>
      </c>
      <c r="C1" s="2432"/>
      <c r="D1" s="2432"/>
      <c r="E1" s="2432"/>
      <c r="F1" s="2432"/>
      <c r="G1" s="2432"/>
      <c r="H1" s="2432"/>
      <c r="I1" s="2432"/>
      <c r="J1" s="2432"/>
      <c r="K1" s="2432"/>
      <c r="L1" s="2432"/>
      <c r="M1" s="2432"/>
    </row>
    <row r="2" spans="2:14" ht="15" x14ac:dyDescent="0.2">
      <c r="B2" s="2433">
        <f>'Single Audit Cover'!E7</f>
        <v>40056006026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2119</v>
      </c>
      <c r="C11" s="1335"/>
      <c r="D11" s="1336"/>
      <c r="E11" s="1337"/>
      <c r="F11" s="1337"/>
      <c r="G11" s="1337"/>
      <c r="H11" s="1337"/>
      <c r="I11" s="1337"/>
      <c r="J11" s="1337"/>
      <c r="K11" s="1337"/>
      <c r="L11" s="1337">
        <f>+G11+I11+K11</f>
        <v>0</v>
      </c>
      <c r="M11" s="1337"/>
    </row>
    <row r="12" spans="2:14" ht="20.100000000000001" customHeight="1" x14ac:dyDescent="0.2">
      <c r="B12" s="1334" t="s">
        <v>2120</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2121</v>
      </c>
      <c r="C14" s="1338">
        <v>93.778000000000006</v>
      </c>
      <c r="D14" s="1339" t="s">
        <v>2123</v>
      </c>
      <c r="E14" s="1340"/>
      <c r="F14" s="1340">
        <v>16715</v>
      </c>
      <c r="G14" s="1340"/>
      <c r="H14" s="1340"/>
      <c r="I14" s="1340">
        <v>16715</v>
      </c>
      <c r="J14" s="1340"/>
      <c r="K14" s="1340"/>
      <c r="L14" s="1337">
        <f t="shared" si="0"/>
        <v>16715</v>
      </c>
      <c r="M14" s="1340" t="s">
        <v>2105</v>
      </c>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2122</v>
      </c>
      <c r="C27" s="1338"/>
      <c r="D27" s="1339"/>
      <c r="E27" s="1340">
        <f>SUM(E13:E26)</f>
        <v>0</v>
      </c>
      <c r="F27" s="1340">
        <f t="shared" ref="F27:K27" si="1">SUM(F13:F26)</f>
        <v>16715</v>
      </c>
      <c r="G27" s="1340">
        <f t="shared" si="1"/>
        <v>0</v>
      </c>
      <c r="H27" s="1340">
        <f t="shared" si="1"/>
        <v>0</v>
      </c>
      <c r="I27" s="1340">
        <f t="shared" si="1"/>
        <v>16715</v>
      </c>
      <c r="J27" s="1340">
        <f t="shared" si="1"/>
        <v>0</v>
      </c>
      <c r="K27" s="1340">
        <f t="shared" si="1"/>
        <v>0</v>
      </c>
      <c r="L27" s="1337">
        <f t="shared" si="0"/>
        <v>16715</v>
      </c>
      <c r="M27" s="1340">
        <f>SUM(M13:M26)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43110-7FF2-4582-B560-6BDD64C247F8}">
  <sheetPr>
    <pageSetUpPr fitToPage="1"/>
  </sheetPr>
  <dimension ref="B1:N152"/>
  <sheetViews>
    <sheetView showGridLines="0"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STAUNTON CUSD 6</v>
      </c>
      <c r="C1" s="2432"/>
      <c r="D1" s="2432"/>
      <c r="E1" s="2432"/>
      <c r="F1" s="2432"/>
      <c r="G1" s="2432"/>
      <c r="H1" s="2432"/>
      <c r="I1" s="2432"/>
      <c r="J1" s="2432"/>
      <c r="K1" s="2432"/>
      <c r="L1" s="2432"/>
      <c r="M1" s="2432"/>
    </row>
    <row r="2" spans="2:14" ht="15" x14ac:dyDescent="0.2">
      <c r="B2" s="2433">
        <f>'Single Audit Cover'!E7</f>
        <v>40056006026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2124</v>
      </c>
      <c r="C11" s="1335"/>
      <c r="D11" s="1336"/>
      <c r="E11" s="1337"/>
      <c r="F11" s="1337"/>
      <c r="G11" s="1337"/>
      <c r="H11" s="1337"/>
      <c r="I11" s="1337"/>
      <c r="J11" s="1337"/>
      <c r="K11" s="1337"/>
      <c r="L11" s="1337">
        <f>+G11+I11+K11</f>
        <v>0</v>
      </c>
      <c r="M11" s="1337"/>
    </row>
    <row r="12" spans="2:14" ht="20.100000000000001" customHeight="1" x14ac:dyDescent="0.2">
      <c r="B12" s="1334" t="s">
        <v>2125</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2126</v>
      </c>
      <c r="C14" s="1338">
        <v>84.027000000000001</v>
      </c>
      <c r="D14" s="1339" t="s">
        <v>2134</v>
      </c>
      <c r="E14" s="1340"/>
      <c r="F14" s="1340">
        <v>330178</v>
      </c>
      <c r="G14" s="1340"/>
      <c r="H14" s="1340"/>
      <c r="I14" s="1340">
        <v>330178</v>
      </c>
      <c r="J14" s="1340"/>
      <c r="K14" s="1340"/>
      <c r="L14" s="1337">
        <f t="shared" si="0"/>
        <v>330178</v>
      </c>
      <c r="M14" s="1340" t="s">
        <v>2105</v>
      </c>
    </row>
    <row r="15" spans="2:14" ht="20.100000000000001" customHeight="1" x14ac:dyDescent="0.2">
      <c r="B15" s="1334" t="s">
        <v>2127</v>
      </c>
      <c r="C15" s="1338">
        <v>84.173000000000002</v>
      </c>
      <c r="D15" s="1339" t="s">
        <v>2135</v>
      </c>
      <c r="E15" s="1340"/>
      <c r="F15" s="1340">
        <v>15746</v>
      </c>
      <c r="G15" s="1340"/>
      <c r="H15" s="1340"/>
      <c r="I15" s="1340">
        <v>15746</v>
      </c>
      <c r="J15" s="1340"/>
      <c r="K15" s="1340"/>
      <c r="L15" s="1337">
        <f t="shared" si="0"/>
        <v>15746</v>
      </c>
      <c r="M15" s="1340" t="s">
        <v>2105</v>
      </c>
    </row>
    <row r="16" spans="2:14" ht="20.100000000000001" customHeight="1" x14ac:dyDescent="0.2">
      <c r="B16" s="1334" t="s">
        <v>2128</v>
      </c>
      <c r="C16" s="1338"/>
      <c r="D16" s="1339"/>
      <c r="E16" s="1340">
        <f>SUM(E14:E15)</f>
        <v>0</v>
      </c>
      <c r="F16" s="1340">
        <f t="shared" ref="F16:K16" si="1">SUM(F14:F15)</f>
        <v>345924</v>
      </c>
      <c r="G16" s="1340">
        <f t="shared" si="1"/>
        <v>0</v>
      </c>
      <c r="H16" s="1340">
        <f t="shared" si="1"/>
        <v>0</v>
      </c>
      <c r="I16" s="1340">
        <f t="shared" si="1"/>
        <v>345924</v>
      </c>
      <c r="J16" s="1340">
        <f t="shared" si="1"/>
        <v>0</v>
      </c>
      <c r="K16" s="1340">
        <f t="shared" si="1"/>
        <v>0</v>
      </c>
      <c r="L16" s="1337">
        <f t="shared" si="0"/>
        <v>345924</v>
      </c>
      <c r="M16" s="1340">
        <f>SUM(M14:M15)</f>
        <v>0</v>
      </c>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2129</v>
      </c>
      <c r="C18" s="1338"/>
      <c r="D18" s="1339"/>
      <c r="E18" s="1340"/>
      <c r="F18" s="1340"/>
      <c r="G18" s="1340"/>
      <c r="H18" s="1340"/>
      <c r="I18" s="1340"/>
      <c r="J18" s="1340"/>
      <c r="K18" s="1340"/>
      <c r="L18" s="1337">
        <f t="shared" si="0"/>
        <v>0</v>
      </c>
      <c r="M18" s="1340"/>
    </row>
    <row r="19" spans="2:14" ht="20.100000000000001" customHeight="1" x14ac:dyDescent="0.2">
      <c r="B19" s="1334" t="s">
        <v>2130</v>
      </c>
      <c r="C19" s="1338" t="s">
        <v>2131</v>
      </c>
      <c r="D19" s="1339" t="s">
        <v>2141</v>
      </c>
      <c r="E19" s="1340"/>
      <c r="F19" s="1340">
        <v>11153</v>
      </c>
      <c r="G19" s="1340"/>
      <c r="H19" s="1340"/>
      <c r="I19" s="1340">
        <v>11153</v>
      </c>
      <c r="J19" s="1340"/>
      <c r="K19" s="1340"/>
      <c r="L19" s="1337">
        <f t="shared" si="0"/>
        <v>11153</v>
      </c>
      <c r="M19" s="1340" t="s">
        <v>2105</v>
      </c>
    </row>
    <row r="20" spans="2:14" ht="20.100000000000001" customHeight="1" x14ac:dyDescent="0.2">
      <c r="B20" s="1334" t="s">
        <v>2132</v>
      </c>
      <c r="C20" s="1338"/>
      <c r="D20" s="1339"/>
      <c r="E20" s="1340">
        <f>E19</f>
        <v>0</v>
      </c>
      <c r="F20" s="1340">
        <f t="shared" ref="F20:K20" si="2">F19</f>
        <v>11153</v>
      </c>
      <c r="G20" s="1340">
        <f t="shared" si="2"/>
        <v>0</v>
      </c>
      <c r="H20" s="1340">
        <f t="shared" si="2"/>
        <v>0</v>
      </c>
      <c r="I20" s="1340">
        <f t="shared" si="2"/>
        <v>11153</v>
      </c>
      <c r="J20" s="1340">
        <f t="shared" si="2"/>
        <v>0</v>
      </c>
      <c r="K20" s="1340">
        <f t="shared" si="2"/>
        <v>0</v>
      </c>
      <c r="L20" s="1337">
        <f t="shared" si="0"/>
        <v>11153</v>
      </c>
      <c r="M20" s="1340" t="str">
        <f>M19</f>
        <v>N/A</v>
      </c>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2133</v>
      </c>
      <c r="C27" s="1338"/>
      <c r="D27" s="1339"/>
      <c r="E27" s="1340">
        <f>SUM(E20,E16)</f>
        <v>0</v>
      </c>
      <c r="F27" s="1340">
        <f t="shared" ref="F27:K27" si="3">SUM(F20,F16)</f>
        <v>357077</v>
      </c>
      <c r="G27" s="1340">
        <f t="shared" si="3"/>
        <v>0</v>
      </c>
      <c r="H27" s="1340">
        <f t="shared" si="3"/>
        <v>0</v>
      </c>
      <c r="I27" s="1340">
        <f t="shared" si="3"/>
        <v>357077</v>
      </c>
      <c r="J27" s="1340">
        <f t="shared" si="3"/>
        <v>0</v>
      </c>
      <c r="K27" s="1340">
        <f t="shared" si="3"/>
        <v>0</v>
      </c>
      <c r="L27" s="1337">
        <f t="shared" si="0"/>
        <v>357077</v>
      </c>
      <c r="M27" s="1340">
        <f>SUM(M20,M16)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7BC7A-EB65-4B45-81FA-F8B7D2816685}">
  <dimension ref="B1:N152"/>
  <sheetViews>
    <sheetView showGridLines="0" zoomScaleNormal="100" workbookViewId="0">
      <selection activeCell="M46" sqref="A1:M4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STAUNTON CUSD 6</v>
      </c>
      <c r="C1" s="2432"/>
      <c r="D1" s="2432"/>
      <c r="E1" s="2432"/>
      <c r="F1" s="2432"/>
      <c r="G1" s="2432"/>
      <c r="H1" s="2432"/>
      <c r="I1" s="2432"/>
      <c r="J1" s="2432"/>
      <c r="K1" s="2432"/>
      <c r="L1" s="2432"/>
      <c r="M1" s="2432"/>
    </row>
    <row r="2" spans="2:14" ht="15" x14ac:dyDescent="0.2">
      <c r="B2" s="2433">
        <f>'Single Audit Cover'!E7</f>
        <v>40056006026</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2136</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2137</v>
      </c>
      <c r="C13" s="1338"/>
      <c r="D13" s="1339"/>
      <c r="E13" s="1340">
        <f>' SEFA'!E27+' SEFA (2)'!E27</f>
        <v>346303</v>
      </c>
      <c r="F13" s="1340">
        <f>' SEFA'!F27+' SEFA (2)'!F27</f>
        <v>561716</v>
      </c>
      <c r="G13" s="1340">
        <f>' SEFA'!G27+' SEFA (2)'!G27</f>
        <v>197484</v>
      </c>
      <c r="H13" s="1340">
        <f>' SEFA'!H27+' SEFA (2)'!H27</f>
        <v>0</v>
      </c>
      <c r="I13" s="1340">
        <f>' SEFA'!I27+' SEFA (2)'!I27</f>
        <v>560050</v>
      </c>
      <c r="J13" s="1340">
        <f>' SEFA'!J27+' SEFA (2)'!J27</f>
        <v>0</v>
      </c>
      <c r="K13" s="1340">
        <f>' SEFA'!K27+' SEFA (2)'!K27</f>
        <v>67105</v>
      </c>
      <c r="L13" s="1337">
        <f t="shared" si="0"/>
        <v>824639</v>
      </c>
      <c r="M13" s="1340">
        <f>' SEFA'!M27+' SEFA (2)'!M27</f>
        <v>0</v>
      </c>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2138</v>
      </c>
      <c r="C15" s="1338"/>
      <c r="D15" s="1339"/>
      <c r="E15" s="1340">
        <f>' SEFA (3)'!E27</f>
        <v>0</v>
      </c>
      <c r="F15" s="1340">
        <f>' SEFA (3)'!F27</f>
        <v>16715</v>
      </c>
      <c r="G15" s="1340">
        <f>' SEFA (3)'!G27</f>
        <v>0</v>
      </c>
      <c r="H15" s="1340">
        <f>' SEFA (3)'!H27</f>
        <v>0</v>
      </c>
      <c r="I15" s="1340">
        <f>' SEFA (3)'!I27</f>
        <v>16715</v>
      </c>
      <c r="J15" s="1340">
        <f>' SEFA (3)'!J27</f>
        <v>0</v>
      </c>
      <c r="K15" s="1340">
        <f>' SEFA (3)'!K27</f>
        <v>0</v>
      </c>
      <c r="L15" s="1337">
        <f t="shared" si="0"/>
        <v>16715</v>
      </c>
      <c r="M15" s="1340">
        <f>' SEFA (3)'!M27</f>
        <v>0</v>
      </c>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2139</v>
      </c>
      <c r="C17" s="1338"/>
      <c r="D17" s="1339"/>
      <c r="E17" s="1340">
        <f>' SEFA (4)'!E27</f>
        <v>0</v>
      </c>
      <c r="F17" s="1340">
        <f>' SEFA (4)'!F27</f>
        <v>357077</v>
      </c>
      <c r="G17" s="1340">
        <f>' SEFA (4)'!G27</f>
        <v>0</v>
      </c>
      <c r="H17" s="1340">
        <f>' SEFA (4)'!H27</f>
        <v>0</v>
      </c>
      <c r="I17" s="1340">
        <f>' SEFA (4)'!I27</f>
        <v>357077</v>
      </c>
      <c r="J17" s="1340">
        <f>' SEFA (4)'!J27</f>
        <v>0</v>
      </c>
      <c r="K17" s="1340">
        <f>' SEFA (4)'!K27</f>
        <v>0</v>
      </c>
      <c r="L17" s="1337">
        <f t="shared" si="0"/>
        <v>357077</v>
      </c>
      <c r="M17" s="1340">
        <f>' SEFA (4)'!M27</f>
        <v>0</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2140</v>
      </c>
      <c r="C27" s="1338"/>
      <c r="D27" s="1339"/>
      <c r="E27" s="1340">
        <f>SUM(E12:E26)</f>
        <v>346303</v>
      </c>
      <c r="F27" s="1340">
        <f t="shared" ref="F27:K27" si="1">SUM(F12:F26)</f>
        <v>935508</v>
      </c>
      <c r="G27" s="1340">
        <f t="shared" si="1"/>
        <v>197484</v>
      </c>
      <c r="H27" s="1340">
        <f t="shared" si="1"/>
        <v>0</v>
      </c>
      <c r="I27" s="1340">
        <f t="shared" si="1"/>
        <v>933842</v>
      </c>
      <c r="J27" s="1340">
        <f t="shared" si="1"/>
        <v>0</v>
      </c>
      <c r="K27" s="1340">
        <f t="shared" si="1"/>
        <v>67105</v>
      </c>
      <c r="L27" s="1337">
        <f t="shared" si="0"/>
        <v>1198431</v>
      </c>
      <c r="M27" s="1340">
        <f>SUM(M12:M26)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B46" sqref="B4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STAUNTON CUSD 6</v>
      </c>
      <c r="B1" s="2437"/>
      <c r="C1" s="2437"/>
      <c r="D1" s="2437"/>
      <c r="E1" s="2437"/>
      <c r="F1" s="2437"/>
    </row>
    <row r="2" spans="1:7" ht="13.5" customHeight="1" x14ac:dyDescent="0.2">
      <c r="A2" s="2433">
        <f>'Single Audit Cover'!E7</f>
        <v>40056006026</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2144</v>
      </c>
      <c r="B7" s="2436"/>
      <c r="C7" s="2436"/>
      <c r="D7" s="2436"/>
      <c r="E7" s="2436"/>
      <c r="F7" s="243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2146</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t="s">
        <v>2145</v>
      </c>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2147</v>
      </c>
      <c r="B32" s="2444"/>
      <c r="C32" s="2444"/>
      <c r="D32" s="2444"/>
      <c r="E32" s="2444"/>
      <c r="F32" s="2444"/>
    </row>
    <row r="33" spans="1:6" ht="13.5" customHeight="1" x14ac:dyDescent="0.2">
      <c r="A33" s="328" t="s">
        <v>1434</v>
      </c>
      <c r="B33" s="328"/>
      <c r="C33" s="1285">
        <v>15674</v>
      </c>
      <c r="D33" s="1903"/>
      <c r="E33" s="1283"/>
    </row>
    <row r="34" spans="1:6" ht="13.5" customHeight="1" x14ac:dyDescent="0.2">
      <c r="A34" s="328" t="s">
        <v>1835</v>
      </c>
      <c r="B34" s="328"/>
      <c r="C34" s="1286">
        <v>12888</v>
      </c>
      <c r="D34" s="1903" t="s">
        <v>1589</v>
      </c>
      <c r="E34" s="2445">
        <f>+C33+C34</f>
        <v>28562</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B46" sqref="B4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STAUNTON CUSD 6</v>
      </c>
      <c r="C1" s="2453"/>
      <c r="D1" s="2453"/>
      <c r="E1" s="2453"/>
      <c r="F1" s="2453"/>
      <c r="G1" s="2453"/>
      <c r="H1" s="2453"/>
      <c r="I1" s="2453"/>
      <c r="J1" s="1406"/>
    </row>
    <row r="2" spans="2:10" s="317" customFormat="1" ht="12.75" customHeight="1" x14ac:dyDescent="0.2">
      <c r="B2" s="2454">
        <f>'Single Audit Cover'!E7</f>
        <v>40056006026</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t="s">
        <v>2148</v>
      </c>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t="s">
        <v>2061</v>
      </c>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t="s">
        <v>2149</v>
      </c>
      <c r="E29" s="2459"/>
      <c r="F29" s="2459"/>
      <c r="G29" s="2459"/>
      <c r="H29" s="2459"/>
      <c r="I29" s="2459"/>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0" t="s">
        <v>1748</v>
      </c>
      <c r="D37" s="2461"/>
      <c r="E37" s="2461"/>
      <c r="F37" s="2462"/>
      <c r="G37" s="2460" t="s">
        <v>1592</v>
      </c>
      <c r="H37" s="2461"/>
      <c r="I37" s="2462"/>
    </row>
    <row r="38" spans="2:9" ht="16.5" customHeight="1" x14ac:dyDescent="0.2">
      <c r="B38" s="1428">
        <v>10.555</v>
      </c>
      <c r="C38" s="2448" t="s">
        <v>2150</v>
      </c>
      <c r="D38" s="2449"/>
      <c r="E38" s="2449"/>
      <c r="F38" s="2450"/>
      <c r="G38" s="2463">
        <f>SUM(' SEFA'!I14:I15)</f>
        <v>197985</v>
      </c>
      <c r="H38" s="2464"/>
      <c r="I38" s="2465"/>
    </row>
    <row r="39" spans="2:9" ht="16.5" customHeight="1" x14ac:dyDescent="0.2">
      <c r="B39" s="1428">
        <v>10.553000000000001</v>
      </c>
      <c r="C39" s="2448" t="s">
        <v>2096</v>
      </c>
      <c r="D39" s="2449"/>
      <c r="E39" s="2449"/>
      <c r="F39" s="2450"/>
      <c r="G39" s="2451">
        <f>SUM(' SEFA'!I16:I17)</f>
        <v>48085</v>
      </c>
      <c r="H39" s="2451"/>
      <c r="I39" s="2451"/>
    </row>
    <row r="40" spans="2:9" ht="16.5" customHeight="1" x14ac:dyDescent="0.2">
      <c r="B40" s="1428">
        <v>84.027000000000001</v>
      </c>
      <c r="C40" s="2448" t="s">
        <v>2151</v>
      </c>
      <c r="D40" s="2449"/>
      <c r="E40" s="2449"/>
      <c r="F40" s="2450"/>
      <c r="G40" s="2451">
        <f>SUM(' SEFA (4)'!I14)</f>
        <v>330178</v>
      </c>
      <c r="H40" s="2451"/>
      <c r="I40" s="2451"/>
    </row>
    <row r="41" spans="2:9" ht="16.5" customHeight="1" x14ac:dyDescent="0.2">
      <c r="B41" s="1428">
        <v>84.173000000000002</v>
      </c>
      <c r="C41" s="2448" t="s">
        <v>2152</v>
      </c>
      <c r="D41" s="2449"/>
      <c r="E41" s="2449"/>
      <c r="F41" s="2450"/>
      <c r="G41" s="2451">
        <f>SUM(' SEFA (4)'!I15)</f>
        <v>15746</v>
      </c>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591994</v>
      </c>
      <c r="H43" s="2469"/>
      <c r="I43" s="2469"/>
    </row>
    <row r="44" spans="2:9" ht="12.75" customHeight="1" x14ac:dyDescent="0.2"/>
    <row r="45" spans="2:9" ht="12.75" customHeight="1" x14ac:dyDescent="0.2">
      <c r="B45" s="1419" t="s">
        <v>1838</v>
      </c>
      <c r="D45" s="2470">
        <f>+' SEFA (5)'!I27</f>
        <v>933842</v>
      </c>
      <c r="E45" s="2471"/>
    </row>
    <row r="46" spans="2:9" ht="5.25" customHeight="1" x14ac:dyDescent="0.2">
      <c r="B46" s="1429"/>
      <c r="D46" s="1430"/>
      <c r="E46" s="1431"/>
    </row>
    <row r="47" spans="2:9" ht="12.75" customHeight="1" x14ac:dyDescent="0.2">
      <c r="B47" s="1297" t="s">
        <v>1594</v>
      </c>
      <c r="C47" s="1297"/>
      <c r="D47" s="1432">
        <f>+G43/D45</f>
        <v>0.63393379179775589</v>
      </c>
      <c r="E47" s="1433"/>
      <c r="F47" s="1434"/>
      <c r="I47" s="1435"/>
    </row>
    <row r="48" spans="2:9" ht="9.9499999999999993" customHeight="1" x14ac:dyDescent="0.2"/>
    <row r="49" spans="1:9" x14ac:dyDescent="0.2">
      <c r="B49" s="1365" t="s">
        <v>1273</v>
      </c>
      <c r="C49" s="1279"/>
      <c r="D49" s="1279"/>
      <c r="E49" s="2472">
        <v>750000</v>
      </c>
      <c r="F49" s="2472"/>
      <c r="G49" s="2472"/>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L1" sqref="A1:L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STAUNTON CUSD 6</v>
      </c>
      <c r="C1" s="2452"/>
      <c r="D1" s="2452"/>
      <c r="E1" s="2452"/>
      <c r="F1" s="2452"/>
      <c r="G1" s="2452"/>
      <c r="H1" s="2452"/>
      <c r="I1" s="2452"/>
      <c r="J1" s="2452"/>
      <c r="K1" s="2452"/>
      <c r="L1" s="1371"/>
      <c r="M1" s="1371"/>
    </row>
    <row r="2" spans="1:13" ht="12" customHeight="1" x14ac:dyDescent="0.2">
      <c r="B2" s="2454">
        <f>'Single Audit Cover'!E7</f>
        <v>40056006026</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2153</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1" sqref="A1:K4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STAUNTON CUSD 6</v>
      </c>
      <c r="C1" s="2479"/>
      <c r="D1" s="2479"/>
      <c r="E1" s="2479"/>
      <c r="F1" s="2479"/>
      <c r="G1" s="2479"/>
      <c r="H1" s="2479"/>
      <c r="I1" s="2479"/>
      <c r="J1" s="2479"/>
      <c r="K1" s="2479"/>
      <c r="L1" s="1449"/>
    </row>
    <row r="2" spans="1:12" ht="12.75" customHeight="1" x14ac:dyDescent="0.2">
      <c r="B2" s="2480">
        <f>'Single Audit Cover'!E7</f>
        <v>40056006026</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t="s">
        <v>2153</v>
      </c>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46" sqref="B4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STAUNTON CUSD 6</v>
      </c>
      <c r="C1" s="2452"/>
      <c r="D1" s="2452"/>
      <c r="E1" s="1469"/>
    </row>
    <row r="2" spans="2:5" s="1279" customFormat="1" ht="12.75" customHeight="1" x14ac:dyDescent="0.2">
      <c r="B2" s="2454">
        <f>'Single Audit Cover'!E7</f>
        <v>40056006026</v>
      </c>
      <c r="C2" s="2454"/>
      <c r="D2" s="2454"/>
      <c r="E2" s="1470"/>
    </row>
    <row r="3" spans="2:5" ht="12.75" customHeight="1" x14ac:dyDescent="0.2">
      <c r="B3" s="2475" t="s">
        <v>1763</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2154</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C00000"/>
  </sheetPr>
  <dimension ref="A1:N72"/>
  <sheetViews>
    <sheetView showGridLines="0" defaultGridColor="0" topLeftCell="A7"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117169031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f>0.0193733+0.017972</f>
        <v>3.7345299999999998E-2</v>
      </c>
      <c r="E10" s="356" t="s">
        <v>1005</v>
      </c>
      <c r="F10" s="355">
        <f>0.0039453+0.004361</f>
        <v>8.3062999999999991E-3</v>
      </c>
      <c r="G10" s="356" t="s">
        <v>1005</v>
      </c>
      <c r="H10" s="355">
        <f>0.0018008+0.001954</f>
        <v>3.7548E-3</v>
      </c>
      <c r="I10" s="356" t="s">
        <v>1006</v>
      </c>
      <c r="J10" s="1732">
        <f>ROUND(D10+F10+H10,5)</f>
        <v>4.9410000000000003E-2</v>
      </c>
      <c r="K10" s="222"/>
      <c r="L10" s="355">
        <f>0.0003992+0.000442</f>
        <v>8.4120000000000006E-4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10519189</v>
      </c>
      <c r="E16" s="356"/>
      <c r="F16" s="1733">
        <f>SUM('Acct Summary 7-8'!C17,'Acct Summary 7-8'!D17,'Acct Summary 7-8'!F17)</f>
        <v>9673058</v>
      </c>
      <c r="G16" s="356"/>
      <c r="H16" s="1733">
        <f>SUM(D16-F16)</f>
        <v>846131</v>
      </c>
      <c r="I16" s="222"/>
      <c r="J16" s="1733">
        <f>SUM('Acct Summary 7-8'!C81,'Acct Summary 7-8'!D81,'Acct Summary 7-8'!F81,'Acct Summary 7-8'!I81)</f>
        <v>3882532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16169326.278000001</v>
      </c>
      <c r="I31" s="368"/>
      <c r="J31" s="222"/>
      <c r="K31" s="222"/>
      <c r="L31" s="222"/>
      <c r="M31" s="222"/>
    </row>
    <row r="32" spans="1:13" ht="13.35" customHeight="1" x14ac:dyDescent="0.2">
      <c r="B32" s="369" t="s">
        <v>2061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4280000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C00000"/>
  </sheetPr>
  <dimension ref="A1:R44"/>
  <sheetViews>
    <sheetView showGridLines="0" topLeftCell="A28"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STAUNTON CUSD 6</v>
      </c>
      <c r="E7" s="391"/>
      <c r="G7" s="252"/>
      <c r="H7" s="387"/>
      <c r="I7" s="387"/>
      <c r="J7" s="387"/>
      <c r="K7" s="387"/>
      <c r="L7" s="329"/>
      <c r="M7" s="329"/>
      <c r="N7" s="329"/>
      <c r="O7" s="329"/>
      <c r="P7" s="329"/>
    </row>
    <row r="8" spans="1:18" ht="12.75" x14ac:dyDescent="0.2">
      <c r="A8" s="329"/>
      <c r="B8" s="329"/>
      <c r="C8" s="389" t="s">
        <v>1125</v>
      </c>
      <c r="D8" s="392">
        <f>COVER!A13</f>
        <v>40056006026</v>
      </c>
      <c r="E8" s="393"/>
      <c r="G8" s="329"/>
      <c r="H8" s="329"/>
      <c r="I8" s="329"/>
      <c r="J8" s="329"/>
      <c r="K8" s="329"/>
      <c r="L8" s="329"/>
      <c r="M8" s="329"/>
      <c r="N8" s="329"/>
      <c r="O8" s="329"/>
      <c r="P8" s="329"/>
    </row>
    <row r="9" spans="1:18" ht="12.75" x14ac:dyDescent="0.2">
      <c r="A9" s="329"/>
      <c r="B9" s="329"/>
      <c r="C9" s="389" t="s">
        <v>713</v>
      </c>
      <c r="D9" s="394" t="str">
        <f>COVER!A15</f>
        <v>MACOUPIN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3882532</v>
      </c>
      <c r="I12" s="404"/>
      <c r="J12" s="404"/>
      <c r="K12" s="405">
        <f>TRUNC((H12/H13*100000),5)/100000</f>
        <v>0.36909043080000004</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10519189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9673058</v>
      </c>
      <c r="I17" s="404"/>
      <c r="J17" s="416"/>
      <c r="K17" s="405">
        <f>TRUNC((H17/H18*100000),5)/100000</f>
        <v>0.91956309550000004</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10519189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3882532</v>
      </c>
      <c r="I24" s="422"/>
      <c r="J24" s="422"/>
      <c r="K24" s="423">
        <f>TRUNC(((H24/H25*100000)/100000),2)</f>
        <v>144.49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26869.60556</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4920923.5484499997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4280000</v>
      </c>
      <c r="I32" s="420"/>
      <c r="J32" s="420"/>
      <c r="K32" s="423">
        <f>TRUNC(100-((((H32/H33*100))*100)/100),2)</f>
        <v>73.53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16169326.278000001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00000"/>
  </sheetPr>
  <dimension ref="A1:N44"/>
  <sheetViews>
    <sheetView showGridLines="0" defaultGridColor="0" topLeftCell="B1" colorId="8" zoomScale="110" zoomScaleNormal="110" workbookViewId="0">
      <pane ySplit="2" topLeftCell="A33" activePane="bottomLeft" state="frozen"/>
      <selection pane="bottomLeft" activeCell="M20" sqref="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f>1753815+4000</f>
        <v>1757815</v>
      </c>
      <c r="D4" s="466">
        <v>122781</v>
      </c>
      <c r="E4" s="466">
        <v>319658</v>
      </c>
      <c r="F4" s="466">
        <v>694788</v>
      </c>
      <c r="G4" s="466">
        <v>27343</v>
      </c>
      <c r="H4" s="466">
        <v>306915</v>
      </c>
      <c r="I4" s="466">
        <v>669818</v>
      </c>
      <c r="J4" s="467">
        <v>125251</v>
      </c>
      <c r="K4" s="466">
        <v>159044</v>
      </c>
      <c r="L4" s="466">
        <v>132188</v>
      </c>
      <c r="M4" s="468"/>
      <c r="N4" s="469"/>
    </row>
    <row r="5" spans="1:14" x14ac:dyDescent="0.2">
      <c r="A5" s="463" t="s">
        <v>992</v>
      </c>
      <c r="B5" s="470">
        <v>120</v>
      </c>
      <c r="C5" s="465"/>
      <c r="D5" s="466"/>
      <c r="E5" s="466"/>
      <c r="F5" s="466"/>
      <c r="G5" s="466"/>
      <c r="H5" s="466"/>
      <c r="I5" s="466">
        <v>637330</v>
      </c>
      <c r="J5" s="467"/>
      <c r="K5" s="471"/>
      <c r="L5" s="472">
        <v>76301</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1757815</v>
      </c>
      <c r="D13" s="1737">
        <f t="shared" ref="D13:L13" si="0">SUM(D4:D12)</f>
        <v>122781</v>
      </c>
      <c r="E13" s="1737">
        <f t="shared" si="0"/>
        <v>319658</v>
      </c>
      <c r="F13" s="1737">
        <f t="shared" si="0"/>
        <v>694788</v>
      </c>
      <c r="G13" s="1737">
        <f t="shared" si="0"/>
        <v>27343</v>
      </c>
      <c r="H13" s="1737">
        <f t="shared" si="0"/>
        <v>306915</v>
      </c>
      <c r="I13" s="1737">
        <f t="shared" si="0"/>
        <v>1307148</v>
      </c>
      <c r="J13" s="1737">
        <f t="shared" si="0"/>
        <v>125251</v>
      </c>
      <c r="K13" s="1737">
        <f t="shared" si="0"/>
        <v>159044</v>
      </c>
      <c r="L13" s="1737">
        <f t="shared" si="0"/>
        <v>208489</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223421</v>
      </c>
      <c r="N16" s="484"/>
    </row>
    <row r="17" spans="1:14" s="485" customFormat="1" ht="12.75" customHeight="1" x14ac:dyDescent="0.2">
      <c r="A17" s="482" t="s">
        <v>1403</v>
      </c>
      <c r="B17" s="483">
        <v>230</v>
      </c>
      <c r="C17" s="477"/>
      <c r="D17" s="477"/>
      <c r="E17" s="477"/>
      <c r="F17" s="477"/>
      <c r="G17" s="477"/>
      <c r="H17" s="477"/>
      <c r="I17" s="477"/>
      <c r="J17" s="477"/>
      <c r="K17" s="477"/>
      <c r="L17" s="477"/>
      <c r="M17" s="467">
        <v>13870948</v>
      </c>
      <c r="N17" s="484"/>
    </row>
    <row r="18" spans="1:14" s="485" customFormat="1" ht="12.75" customHeight="1" x14ac:dyDescent="0.2">
      <c r="A18" s="482" t="s">
        <v>1404</v>
      </c>
      <c r="B18" s="483">
        <v>240</v>
      </c>
      <c r="C18" s="477"/>
      <c r="D18" s="477"/>
      <c r="E18" s="477"/>
      <c r="F18" s="477"/>
      <c r="G18" s="477"/>
      <c r="H18" s="477"/>
      <c r="I18" s="477"/>
      <c r="J18" s="477"/>
      <c r="K18" s="477"/>
      <c r="L18" s="477"/>
      <c r="M18" s="467">
        <v>773280</v>
      </c>
      <c r="N18" s="484"/>
    </row>
    <row r="19" spans="1:14" s="485" customFormat="1" ht="12.75" customHeight="1" x14ac:dyDescent="0.2">
      <c r="A19" s="482" t="s">
        <v>1405</v>
      </c>
      <c r="B19" s="483">
        <v>250</v>
      </c>
      <c r="C19" s="477"/>
      <c r="D19" s="477"/>
      <c r="E19" s="477"/>
      <c r="F19" s="477"/>
      <c r="G19" s="477"/>
      <c r="H19" s="477"/>
      <c r="I19" s="477"/>
      <c r="J19" s="477"/>
      <c r="K19" s="477"/>
      <c r="L19" s="477"/>
      <c r="M19" s="467">
        <f>5240783+1719222+10932</f>
        <v>6970937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319658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3960342</v>
      </c>
    </row>
    <row r="23" spans="1:14" ht="13.5" customHeight="1" thickBot="1" x14ac:dyDescent="0.25">
      <c r="A23" s="1736" t="s">
        <v>643</v>
      </c>
      <c r="B23" s="1741"/>
      <c r="C23" s="468"/>
      <c r="D23" s="468"/>
      <c r="E23" s="468"/>
      <c r="F23" s="468"/>
      <c r="G23" s="468"/>
      <c r="H23" s="468"/>
      <c r="I23" s="468"/>
      <c r="J23" s="468"/>
      <c r="K23" s="468"/>
      <c r="L23" s="468"/>
      <c r="M23" s="1688">
        <f>SUM(M15:M22)</f>
        <v>21838586</v>
      </c>
      <c r="N23" s="1688">
        <f>SUM(N21:N22)</f>
        <v>4280000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208489</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208489</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4280000</v>
      </c>
    </row>
    <row r="37" spans="1:14" ht="13.5" thickBot="1" x14ac:dyDescent="0.25">
      <c r="A37" s="1736" t="s">
        <v>653</v>
      </c>
      <c r="B37" s="1741"/>
      <c r="C37" s="477"/>
      <c r="D37" s="477"/>
      <c r="E37" s="477"/>
      <c r="F37" s="477"/>
      <c r="G37" s="477"/>
      <c r="H37" s="477"/>
      <c r="I37" s="477"/>
      <c r="J37" s="477"/>
      <c r="K37" s="477"/>
      <c r="L37" s="480"/>
      <c r="M37" s="468"/>
      <c r="N37" s="1688">
        <f>SUM(N36:N36)</f>
        <v>4280000</v>
      </c>
    </row>
    <row r="38" spans="1:14" s="329" customFormat="1" ht="13.5" customHeight="1" thickTop="1" x14ac:dyDescent="0.2">
      <c r="A38" s="496" t="s">
        <v>420</v>
      </c>
      <c r="B38" s="483">
        <v>714</v>
      </c>
      <c r="C38" s="466"/>
      <c r="D38" s="466"/>
      <c r="E38" s="466">
        <v>319658</v>
      </c>
      <c r="F38" s="466"/>
      <c r="G38" s="466">
        <v>27343</v>
      </c>
      <c r="H38" s="466">
        <v>306915</v>
      </c>
      <c r="I38" s="466"/>
      <c r="J38" s="467">
        <v>125251</v>
      </c>
      <c r="K38" s="466">
        <v>159044</v>
      </c>
      <c r="L38" s="481"/>
      <c r="M38" s="497"/>
      <c r="N38" s="497"/>
    </row>
    <row r="39" spans="1:14" s="329" customFormat="1" ht="13.5" customHeight="1" x14ac:dyDescent="0.2">
      <c r="A39" s="496" t="s">
        <v>342</v>
      </c>
      <c r="B39" s="483">
        <v>730</v>
      </c>
      <c r="C39" s="466">
        <v>1757815</v>
      </c>
      <c r="D39" s="466">
        <v>122781</v>
      </c>
      <c r="E39" s="466"/>
      <c r="F39" s="466">
        <v>694788</v>
      </c>
      <c r="G39" s="466"/>
      <c r="H39" s="466"/>
      <c r="I39" s="466">
        <v>1307148</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21838586</v>
      </c>
      <c r="N40" s="497"/>
    </row>
    <row r="41" spans="1:14" ht="13.5" customHeight="1" thickBot="1" x14ac:dyDescent="0.25">
      <c r="A41" s="1736" t="s">
        <v>655</v>
      </c>
      <c r="B41" s="1706"/>
      <c r="C41" s="1688">
        <f>(SUM(C34,C37,C38,C39))</f>
        <v>1757815</v>
      </c>
      <c r="D41" s="1688">
        <f t="shared" ref="D41:L41" si="2">SUM(D34,D37,D38:D39)</f>
        <v>122781</v>
      </c>
      <c r="E41" s="1688">
        <f t="shared" si="2"/>
        <v>319658</v>
      </c>
      <c r="F41" s="1688">
        <f t="shared" si="2"/>
        <v>694788</v>
      </c>
      <c r="G41" s="1688">
        <f t="shared" si="2"/>
        <v>27343</v>
      </c>
      <c r="H41" s="1688">
        <f t="shared" si="2"/>
        <v>306915</v>
      </c>
      <c r="I41" s="1688">
        <f t="shared" si="2"/>
        <v>1307148</v>
      </c>
      <c r="J41" s="1688">
        <f t="shared" si="2"/>
        <v>125251</v>
      </c>
      <c r="K41" s="1688">
        <f t="shared" si="2"/>
        <v>159044</v>
      </c>
      <c r="L41" s="1688">
        <f t="shared" si="2"/>
        <v>208489</v>
      </c>
      <c r="M41" s="1688">
        <f>SUM(M40)</f>
        <v>21838586</v>
      </c>
      <c r="N41" s="1688">
        <f>SUM(N37)</f>
        <v>4280000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00000"/>
  </sheetPr>
  <dimension ref="A1:M87"/>
  <sheetViews>
    <sheetView showGridLines="0" defaultGridColor="0" colorId="8" zoomScale="110" zoomScaleNormal="110" zoomScaleSheetLayoutView="100" workbookViewId="0">
      <pane ySplit="2" topLeftCell="A78"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2897525</v>
      </c>
      <c r="D4" s="1742">
        <f>'Revenues 9-14'!D109</f>
        <v>526713</v>
      </c>
      <c r="E4" s="1742">
        <f>'Revenues 9-14'!E109</f>
        <v>426128</v>
      </c>
      <c r="F4" s="1742">
        <f>'Revenues 9-14'!F109</f>
        <v>243563</v>
      </c>
      <c r="G4" s="1742">
        <f>'Revenues 9-14'!G109</f>
        <v>148198</v>
      </c>
      <c r="H4" s="1742">
        <f>'Revenues 9-14'!H109</f>
        <v>48058</v>
      </c>
      <c r="I4" s="1742">
        <f>'Revenues 9-14'!I109</f>
        <v>55662</v>
      </c>
      <c r="J4" s="1742">
        <f>'Revenues 9-14'!J109</f>
        <v>220918</v>
      </c>
      <c r="K4" s="1742">
        <f>'Revenues 9-14'!K109</f>
        <v>51601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5152499</v>
      </c>
      <c r="D6" s="1743">
        <f>'Revenues 9-14'!D170</f>
        <v>469695</v>
      </c>
      <c r="E6" s="1743">
        <f>'Revenues 9-14'!E170</f>
        <v>0</v>
      </c>
      <c r="F6" s="1743">
        <f>'Revenues 9-14'!F170</f>
        <v>225062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948470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8998494</v>
      </c>
      <c r="D8" s="1688">
        <f t="shared" ref="D8:K8" si="0">SUM(D4:D7)</f>
        <v>996408</v>
      </c>
      <c r="E8" s="1688">
        <f t="shared" si="0"/>
        <v>426128</v>
      </c>
      <c r="F8" s="1688">
        <f t="shared" si="0"/>
        <v>468625</v>
      </c>
      <c r="G8" s="1688">
        <f t="shared" si="0"/>
        <v>148198</v>
      </c>
      <c r="H8" s="1688">
        <f t="shared" si="0"/>
        <v>48058</v>
      </c>
      <c r="I8" s="1688">
        <f t="shared" si="0"/>
        <v>55662</v>
      </c>
      <c r="J8" s="1688">
        <f t="shared" si="0"/>
        <v>220918</v>
      </c>
      <c r="K8" s="1688">
        <f t="shared" si="0"/>
        <v>51601</v>
      </c>
      <c r="L8" s="347"/>
    </row>
    <row r="9" spans="1:13" ht="15.75" thickTop="1" x14ac:dyDescent="0.2">
      <c r="A9" s="514" t="s">
        <v>1653</v>
      </c>
      <c r="B9" s="515">
        <v>3998</v>
      </c>
      <c r="C9" s="481">
        <v>3760323</v>
      </c>
      <c r="D9" s="516"/>
      <c r="E9" s="481"/>
      <c r="F9" s="481"/>
      <c r="G9" s="517"/>
      <c r="H9" s="481"/>
      <c r="I9" s="509" t="s">
        <v>1169</v>
      </c>
      <c r="J9" s="478"/>
      <c r="K9" s="481"/>
      <c r="L9" s="347"/>
    </row>
    <row r="10" spans="1:13" s="519" customFormat="1" ht="13.5" thickBot="1" x14ac:dyDescent="0.25">
      <c r="A10" s="1736" t="s">
        <v>1173</v>
      </c>
      <c r="B10" s="1709"/>
      <c r="C10" s="1688">
        <f>SUM(C8:C9)</f>
        <v>12758817</v>
      </c>
      <c r="D10" s="1688">
        <f t="shared" ref="D10:K10" si="1">SUM(D8:D9)</f>
        <v>996408</v>
      </c>
      <c r="E10" s="1688">
        <f t="shared" si="1"/>
        <v>426128</v>
      </c>
      <c r="F10" s="1688">
        <f t="shared" si="1"/>
        <v>468625</v>
      </c>
      <c r="G10" s="1688">
        <f t="shared" si="1"/>
        <v>148198</v>
      </c>
      <c r="H10" s="1688">
        <f t="shared" si="1"/>
        <v>48058</v>
      </c>
      <c r="I10" s="1688">
        <f t="shared" si="1"/>
        <v>55662</v>
      </c>
      <c r="J10" s="1688">
        <f t="shared" si="1"/>
        <v>220918</v>
      </c>
      <c r="K10" s="1688">
        <f t="shared" si="1"/>
        <v>51601</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5777477</v>
      </c>
      <c r="D12" s="520" t="s">
        <v>1169</v>
      </c>
      <c r="E12" s="468" t="s">
        <v>1169</v>
      </c>
      <c r="F12" s="468" t="s">
        <v>1169</v>
      </c>
      <c r="G12" s="1742">
        <f>'Expenditures 15-22'!K229</f>
        <v>111189</v>
      </c>
      <c r="H12" s="521"/>
      <c r="I12" s="468" t="s">
        <v>1169</v>
      </c>
      <c r="J12" s="468" t="s">
        <v>1169</v>
      </c>
      <c r="K12" s="521" t="s">
        <v>1169</v>
      </c>
      <c r="L12" s="347"/>
    </row>
    <row r="13" spans="1:13" ht="15.75" customHeight="1" x14ac:dyDescent="0.2">
      <c r="A13" s="1576" t="s">
        <v>457</v>
      </c>
      <c r="B13" s="1578">
        <v>2000</v>
      </c>
      <c r="C13" s="1743">
        <f>'Expenditures 15-22'!K74</f>
        <v>1701065</v>
      </c>
      <c r="D13" s="1743">
        <f>'Expenditures 15-22'!K129</f>
        <v>983652</v>
      </c>
      <c r="E13" s="469" t="s">
        <v>1169</v>
      </c>
      <c r="F13" s="1743">
        <f>'Expenditures 15-22'!K184</f>
        <v>432760</v>
      </c>
      <c r="G13" s="1743">
        <f>'Expenditures 15-22'!K279</f>
        <v>193261</v>
      </c>
      <c r="H13" s="1743">
        <f>'Expenditures 15-22'!K303</f>
        <v>0</v>
      </c>
      <c r="I13" s="468" t="s">
        <v>1169</v>
      </c>
      <c r="J13" s="1743">
        <f>'Expenditures 15-22'!K330</f>
        <v>172305</v>
      </c>
      <c r="K13" s="1747">
        <f>'Expenditures 15-22'!K352</f>
        <v>5521</v>
      </c>
      <c r="L13" s="347"/>
    </row>
    <row r="14" spans="1:13" ht="15.75" customHeight="1" x14ac:dyDescent="0.2">
      <c r="A14" s="1576" t="s">
        <v>449</v>
      </c>
      <c r="B14" s="1578">
        <v>3000</v>
      </c>
      <c r="C14" s="1743">
        <f>'Expenditures 15-22'!K75</f>
        <v>39884</v>
      </c>
      <c r="D14" s="1743">
        <f>'Expenditures 15-22'!K130</f>
        <v>0</v>
      </c>
      <c r="E14" s="520" t="s">
        <v>1169</v>
      </c>
      <c r="F14" s="1743">
        <f>'Expenditures 15-22'!K185</f>
        <v>0</v>
      </c>
      <c r="G14" s="1743">
        <f>'Expenditures 15-22'!K280</f>
        <v>4156</v>
      </c>
      <c r="H14" s="512"/>
      <c r="I14" s="468" t="s">
        <v>1169</v>
      </c>
      <c r="J14" s="468" t="s">
        <v>1169</v>
      </c>
      <c r="K14" s="512" t="s">
        <v>1169</v>
      </c>
      <c r="L14" s="347"/>
    </row>
    <row r="15" spans="1:13" ht="15.75" customHeight="1" x14ac:dyDescent="0.2">
      <c r="A15" s="1576" t="s">
        <v>107</v>
      </c>
      <c r="B15" s="1578">
        <v>4000</v>
      </c>
      <c r="C15" s="1743">
        <f>'Expenditures 15-22'!K102</f>
        <v>737185</v>
      </c>
      <c r="D15" s="1743">
        <f>'Expenditures 15-22'!K139</f>
        <v>0</v>
      </c>
      <c r="E15" s="1743">
        <f>'Expenditures 15-22'!K160</f>
        <v>0</v>
      </c>
      <c r="F15" s="1743">
        <f>'Expenditures 15-22'!K196</f>
        <v>1035</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333996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8255611</v>
      </c>
      <c r="D17" s="1688">
        <f t="shared" si="2"/>
        <v>983652</v>
      </c>
      <c r="E17" s="1688">
        <f t="shared" si="2"/>
        <v>333996</v>
      </c>
      <c r="F17" s="1688">
        <f t="shared" si="2"/>
        <v>433795</v>
      </c>
      <c r="G17" s="1688">
        <f t="shared" si="2"/>
        <v>308606</v>
      </c>
      <c r="H17" s="1688">
        <f t="shared" si="2"/>
        <v>0</v>
      </c>
      <c r="I17" s="468"/>
      <c r="J17" s="1688">
        <f>SUM(J12:J16)</f>
        <v>172305</v>
      </c>
      <c r="K17" s="1688">
        <f>SUM(K12:K16)</f>
        <v>5521</v>
      </c>
      <c r="L17" s="347"/>
    </row>
    <row r="18" spans="1:12" ht="15" customHeight="1" thickTop="1" x14ac:dyDescent="0.2">
      <c r="A18" s="1744" t="s">
        <v>1654</v>
      </c>
      <c r="B18" s="1745">
        <v>4180</v>
      </c>
      <c r="C18" s="1742">
        <f t="shared" ref="C18:H18" si="3">C9</f>
        <v>3760323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12015934</v>
      </c>
      <c r="D19" s="1688">
        <f t="shared" si="4"/>
        <v>983652</v>
      </c>
      <c r="E19" s="1688">
        <f t="shared" si="4"/>
        <v>333996</v>
      </c>
      <c r="F19" s="1688">
        <f t="shared" si="4"/>
        <v>433795</v>
      </c>
      <c r="G19" s="1688">
        <f t="shared" si="4"/>
        <v>308606</v>
      </c>
      <c r="H19" s="1688">
        <f t="shared" si="4"/>
        <v>0</v>
      </c>
      <c r="I19" s="468"/>
      <c r="J19" s="1688">
        <f>SUM(J17:J18)</f>
        <v>172305</v>
      </c>
      <c r="K19" s="1688">
        <f>SUM(K17:K18)</f>
        <v>5521</v>
      </c>
      <c r="L19" s="347"/>
    </row>
    <row r="20" spans="1:12" ht="16.5" thickTop="1" thickBot="1" x14ac:dyDescent="0.25">
      <c r="A20" s="2125" t="s">
        <v>1655</v>
      </c>
      <c r="B20" s="2126"/>
      <c r="C20" s="1746">
        <f>C8-C17</f>
        <v>742883</v>
      </c>
      <c r="D20" s="1746">
        <f t="shared" ref="D20:K20" si="5">D8-D17</f>
        <v>12756</v>
      </c>
      <c r="E20" s="1746">
        <f t="shared" si="5"/>
        <v>92132</v>
      </c>
      <c r="F20" s="1746">
        <f t="shared" si="5"/>
        <v>34830</v>
      </c>
      <c r="G20" s="1746">
        <f t="shared" si="5"/>
        <v>-160408</v>
      </c>
      <c r="H20" s="1746">
        <f t="shared" si="5"/>
        <v>48058</v>
      </c>
      <c r="I20" s="1746">
        <f t="shared" si="5"/>
        <v>55662</v>
      </c>
      <c r="J20" s="1746">
        <f t="shared" si="5"/>
        <v>48613</v>
      </c>
      <c r="K20" s="1746">
        <f t="shared" si="5"/>
        <v>46080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742883</v>
      </c>
      <c r="D78" s="1702">
        <f t="shared" si="9"/>
        <v>12756</v>
      </c>
      <c r="E78" s="1702">
        <f t="shared" si="9"/>
        <v>92132</v>
      </c>
      <c r="F78" s="1702">
        <f t="shared" si="9"/>
        <v>34830</v>
      </c>
      <c r="G78" s="1702">
        <f t="shared" si="9"/>
        <v>-160408</v>
      </c>
      <c r="H78" s="1702">
        <f t="shared" si="9"/>
        <v>48058</v>
      </c>
      <c r="I78" s="1702">
        <f t="shared" si="9"/>
        <v>55662</v>
      </c>
      <c r="J78" s="1702">
        <f t="shared" si="9"/>
        <v>48613</v>
      </c>
      <c r="K78" s="1702">
        <f t="shared" si="9"/>
        <v>46080</v>
      </c>
      <c r="L78" s="533"/>
    </row>
    <row r="79" spans="1:12" ht="13.5" thickTop="1" x14ac:dyDescent="0.2">
      <c r="A79" s="1494" t="s">
        <v>1946</v>
      </c>
      <c r="B79" s="534"/>
      <c r="C79" s="478">
        <v>1014932</v>
      </c>
      <c r="D79" s="535">
        <v>110025</v>
      </c>
      <c r="E79" s="535">
        <v>227526</v>
      </c>
      <c r="F79" s="535">
        <v>659958</v>
      </c>
      <c r="G79" s="535">
        <v>187751</v>
      </c>
      <c r="H79" s="535">
        <v>258857</v>
      </c>
      <c r="I79" s="535">
        <v>1251486</v>
      </c>
      <c r="J79" s="535">
        <v>76638</v>
      </c>
      <c r="K79" s="535">
        <v>112964</v>
      </c>
      <c r="L79" s="347"/>
    </row>
    <row r="80" spans="1:12" x14ac:dyDescent="0.2">
      <c r="A80" s="2127" t="s">
        <v>1792</v>
      </c>
      <c r="B80" s="2128"/>
      <c r="C80" s="467"/>
      <c r="D80" s="467"/>
      <c r="E80" s="467"/>
      <c r="F80" s="467"/>
      <c r="G80" s="467"/>
      <c r="H80" s="467"/>
      <c r="I80" s="467"/>
      <c r="J80" s="467"/>
      <c r="K80" s="467"/>
      <c r="L80" s="347"/>
    </row>
    <row r="81" spans="1:12" ht="13.5" thickBot="1" x14ac:dyDescent="0.25">
      <c r="A81" s="2119" t="s">
        <v>1947</v>
      </c>
      <c r="B81" s="2120"/>
      <c r="C81" s="1688">
        <f>(SUM(C78:C80))</f>
        <v>1757815</v>
      </c>
      <c r="D81" s="1688">
        <f>SUM(D78:D80)</f>
        <v>122781</v>
      </c>
      <c r="E81" s="1688">
        <f t="shared" ref="E81:K81" si="10">SUM(E78:E80)</f>
        <v>319658</v>
      </c>
      <c r="F81" s="1688">
        <f t="shared" si="10"/>
        <v>694788</v>
      </c>
      <c r="G81" s="1688">
        <f t="shared" si="10"/>
        <v>27343</v>
      </c>
      <c r="H81" s="1688">
        <f t="shared" si="10"/>
        <v>306915</v>
      </c>
      <c r="I81" s="1688">
        <f t="shared" si="10"/>
        <v>1307148</v>
      </c>
      <c r="J81" s="1688">
        <f t="shared" si="10"/>
        <v>125251</v>
      </c>
      <c r="K81" s="1688">
        <f t="shared" si="10"/>
        <v>159044</v>
      </c>
      <c r="L81" s="347"/>
    </row>
    <row r="82" spans="1:12" ht="0.75" customHeight="1" thickTop="1" thickBot="1" x14ac:dyDescent="0.25">
      <c r="A82" s="536" t="s">
        <v>343</v>
      </c>
      <c r="B82" s="537"/>
      <c r="C82" s="538">
        <f>(C81-C79)</f>
        <v>742883</v>
      </c>
      <c r="D82" s="538">
        <f t="shared" ref="D82:K82" si="11">(D81-D79)</f>
        <v>12756</v>
      </c>
      <c r="E82" s="538">
        <f t="shared" si="11"/>
        <v>92132</v>
      </c>
      <c r="F82" s="538">
        <f t="shared" si="11"/>
        <v>34830</v>
      </c>
      <c r="G82" s="538">
        <f t="shared" si="11"/>
        <v>-160408</v>
      </c>
      <c r="H82" s="538">
        <f t="shared" si="11"/>
        <v>48058</v>
      </c>
      <c r="I82" s="538">
        <f t="shared" si="11"/>
        <v>55662</v>
      </c>
      <c r="J82" s="538">
        <f t="shared" si="11"/>
        <v>48613</v>
      </c>
      <c r="K82" s="538">
        <f t="shared" si="11"/>
        <v>46080</v>
      </c>
    </row>
    <row r="83" spans="1:12" ht="14.25" hidden="1" thickTop="1" thickBot="1" x14ac:dyDescent="0.25">
      <c r="A83" s="539" t="s">
        <v>344</v>
      </c>
      <c r="B83" s="464"/>
      <c r="C83" s="540">
        <f>C82/C81</f>
        <v>0.42261728338875254</v>
      </c>
      <c r="D83" s="540">
        <f t="shared" ref="D83:K83" si="12">D82/D81</f>
        <v>0.10389229603928947</v>
      </c>
      <c r="E83" s="540">
        <f t="shared" si="12"/>
        <v>0.28822053569752676</v>
      </c>
      <c r="F83" s="540">
        <f t="shared" si="12"/>
        <v>5.0130399488764917E-2</v>
      </c>
      <c r="G83" s="540">
        <f t="shared" si="12"/>
        <v>-5.8665106242914096</v>
      </c>
      <c r="H83" s="540">
        <f t="shared" si="12"/>
        <v>0.15658407050812115</v>
      </c>
      <c r="I83" s="540">
        <f t="shared" si="12"/>
        <v>4.2582783280852667E-2</v>
      </c>
      <c r="J83" s="540">
        <f t="shared" si="12"/>
        <v>0.38812464571141148</v>
      </c>
      <c r="K83" s="540">
        <f t="shared" si="12"/>
        <v>0.28973114358290786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00000"/>
  </sheetPr>
  <dimension ref="A1:L279"/>
  <sheetViews>
    <sheetView showGridLines="0" defaultGridColor="0" colorId="8" zoomScaleNormal="100" zoomScaleSheetLayoutView="75" workbookViewId="0">
      <pane ySplit="2" topLeftCell="A60" activePane="bottomLeft" state="frozen"/>
      <selection pane="bottomLeft" activeCell="K66" sqref="K6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1799</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2266057</v>
      </c>
      <c r="D5" s="481">
        <v>504306</v>
      </c>
      <c r="E5" s="466">
        <v>159079</v>
      </c>
      <c r="F5" s="548">
        <v>229967</v>
      </c>
      <c r="G5" s="466">
        <v>1076</v>
      </c>
      <c r="H5" s="466"/>
      <c r="I5" s="466">
        <v>51019</v>
      </c>
      <c r="J5" s="467">
        <v>220417</v>
      </c>
      <c r="K5" s="466">
        <v>51006</v>
      </c>
    </row>
    <row r="6" spans="1:12" ht="15" x14ac:dyDescent="0.2">
      <c r="A6" s="463" t="s">
        <v>1662</v>
      </c>
      <c r="B6" s="470">
        <v>1130</v>
      </c>
      <c r="C6" s="466"/>
      <c r="D6" s="466"/>
      <c r="E6" s="475"/>
      <c r="F6" s="475"/>
      <c r="G6" s="468"/>
      <c r="H6" s="468"/>
      <c r="I6" s="468"/>
      <c r="J6" s="468"/>
      <c r="K6" s="468"/>
    </row>
    <row r="7" spans="1:12" x14ac:dyDescent="0.2">
      <c r="A7" s="463" t="s">
        <v>110</v>
      </c>
      <c r="B7" s="549">
        <v>1140</v>
      </c>
      <c r="C7" s="466">
        <v>40283</v>
      </c>
      <c r="D7" s="466"/>
      <c r="E7" s="468"/>
      <c r="F7" s="467"/>
      <c r="G7" s="467"/>
      <c r="H7" s="467"/>
      <c r="I7" s="468"/>
      <c r="J7" s="468"/>
      <c r="K7" s="468"/>
    </row>
    <row r="8" spans="1:12" x14ac:dyDescent="0.2">
      <c r="A8" s="463" t="s">
        <v>413</v>
      </c>
      <c r="B8" s="470">
        <v>1150</v>
      </c>
      <c r="C8" s="475"/>
      <c r="D8" s="475"/>
      <c r="E8" s="477"/>
      <c r="F8" s="477"/>
      <c r="G8" s="481">
        <v>137219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2306340</v>
      </c>
      <c r="D12" s="1707">
        <f t="shared" si="0"/>
        <v>504306</v>
      </c>
      <c r="E12" s="1707">
        <f t="shared" si="0"/>
        <v>159079</v>
      </c>
      <c r="F12" s="1707">
        <f t="shared" si="0"/>
        <v>229967</v>
      </c>
      <c r="G12" s="1707">
        <f t="shared" si="0"/>
        <v>138295</v>
      </c>
      <c r="H12" s="1707">
        <f t="shared" si="0"/>
        <v>0</v>
      </c>
      <c r="I12" s="1707">
        <f t="shared" si="0"/>
        <v>51019</v>
      </c>
      <c r="J12" s="1707">
        <f t="shared" si="0"/>
        <v>220417</v>
      </c>
      <c r="K12" s="1688">
        <f t="shared" si="0"/>
        <v>51006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191023</v>
      </c>
      <c r="D16" s="466"/>
      <c r="E16" s="466"/>
      <c r="F16" s="466"/>
      <c r="G16" s="466">
        <v>9364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191023</v>
      </c>
      <c r="D18" s="1710">
        <f t="shared" ref="D18:K18" si="1">SUM(D14:D17)</f>
        <v>0</v>
      </c>
      <c r="E18" s="1710">
        <f t="shared" si="1"/>
        <v>0</v>
      </c>
      <c r="F18" s="1710">
        <f t="shared" si="1"/>
        <v>0</v>
      </c>
      <c r="G18" s="1710">
        <f t="shared" si="1"/>
        <v>9364</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6091</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6091</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646</v>
      </c>
      <c r="G42" s="468"/>
      <c r="H42" s="468"/>
      <c r="I42" s="468"/>
      <c r="J42" s="468"/>
      <c r="K42" s="468"/>
    </row>
    <row r="43" spans="1:11" ht="12.75" customHeight="1" x14ac:dyDescent="0.2">
      <c r="A43" s="463" t="s">
        <v>837</v>
      </c>
      <c r="B43" s="470">
        <v>1412</v>
      </c>
      <c r="C43" s="468"/>
      <c r="D43" s="468"/>
      <c r="E43" s="468"/>
      <c r="F43" s="466">
        <v>5446</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4403</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10495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3+8180</f>
        <v>8183</v>
      </c>
      <c r="D65" s="466">
        <f>-1+756</f>
        <v>755</v>
      </c>
      <c r="E65" s="466">
        <v>1491</v>
      </c>
      <c r="F65" s="467">
        <f>1+2908</f>
        <v>2909</v>
      </c>
      <c r="G65" s="466">
        <f>-4+543</f>
        <v>539</v>
      </c>
      <c r="H65" s="466">
        <v>1031</v>
      </c>
      <c r="I65" s="466">
        <v>4643</v>
      </c>
      <c r="J65" s="467">
        <f>-1+502</f>
        <v>501</v>
      </c>
      <c r="K65" s="466">
        <f>-1+586+10</f>
        <v>595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8183</v>
      </c>
      <c r="D67" s="1688">
        <f t="shared" ref="D67:K67" si="2">SUM(D65:D66)</f>
        <v>755</v>
      </c>
      <c r="E67" s="1688">
        <f t="shared" si="2"/>
        <v>1491</v>
      </c>
      <c r="F67" s="1688">
        <f t="shared" si="2"/>
        <v>2909</v>
      </c>
      <c r="G67" s="1688">
        <f t="shared" si="2"/>
        <v>539</v>
      </c>
      <c r="H67" s="1688">
        <f t="shared" si="2"/>
        <v>1031</v>
      </c>
      <c r="I67" s="1688">
        <f t="shared" si="2"/>
        <v>4643</v>
      </c>
      <c r="J67" s="1688">
        <f t="shared" si="2"/>
        <v>501</v>
      </c>
      <c r="K67" s="1688">
        <f t="shared" si="2"/>
        <v>595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147277</v>
      </c>
      <c r="D69" s="468"/>
      <c r="E69" s="468"/>
      <c r="F69" s="468"/>
      <c r="G69" s="468"/>
      <c r="H69" s="468"/>
      <c r="I69" s="468"/>
      <c r="J69" s="468"/>
      <c r="K69" s="468"/>
    </row>
    <row r="70" spans="1:11" ht="12.75" customHeight="1" x14ac:dyDescent="0.2">
      <c r="A70" s="463" t="s">
        <v>997</v>
      </c>
      <c r="B70" s="470">
        <v>1612</v>
      </c>
      <c r="C70" s="551">
        <v>10542</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157819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28396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f>40+11688+36798+24440</f>
        <v>72966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101362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67876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67876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21501</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38184</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265558</v>
      </c>
      <c r="F103" s="468"/>
      <c r="G103" s="468"/>
      <c r="H103" s="489">
        <v>47027</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20647</v>
      </c>
      <c r="D107" s="466">
        <v>151</v>
      </c>
      <c r="E107" s="466"/>
      <c r="F107" s="466">
        <v>192</v>
      </c>
      <c r="G107" s="466"/>
      <c r="H107" s="466"/>
      <c r="I107" s="466"/>
      <c r="J107" s="467"/>
      <c r="K107" s="466"/>
    </row>
    <row r="108" spans="1:12" ht="12.75" customHeight="1" thickBot="1" x14ac:dyDescent="0.25">
      <c r="A108" s="1708" t="s">
        <v>487</v>
      </c>
      <c r="B108" s="1712"/>
      <c r="C108" s="1707">
        <f>SUM(C95:C107)</f>
        <v>58831</v>
      </c>
      <c r="D108" s="1707">
        <f t="shared" ref="D108:K108" si="3">SUM(D95:D107)</f>
        <v>21652</v>
      </c>
      <c r="E108" s="1707">
        <f t="shared" si="3"/>
        <v>265558</v>
      </c>
      <c r="F108" s="1707">
        <f t="shared" si="3"/>
        <v>192</v>
      </c>
      <c r="G108" s="1707">
        <f t="shared" si="3"/>
        <v>0</v>
      </c>
      <c r="H108" s="1707">
        <f t="shared" si="3"/>
        <v>47027</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2897525</v>
      </c>
      <c r="D109" s="1715">
        <f t="shared" si="4"/>
        <v>526713</v>
      </c>
      <c r="E109" s="1715">
        <f t="shared" si="4"/>
        <v>426128</v>
      </c>
      <c r="F109" s="1715">
        <f t="shared" si="4"/>
        <v>243563</v>
      </c>
      <c r="G109" s="1715">
        <f t="shared" si="4"/>
        <v>148198</v>
      </c>
      <c r="H109" s="1715">
        <f t="shared" si="4"/>
        <v>48058</v>
      </c>
      <c r="I109" s="1715">
        <f t="shared" si="4"/>
        <v>55662</v>
      </c>
      <c r="J109" s="1715">
        <f t="shared" si="4"/>
        <v>220918</v>
      </c>
      <c r="K109" s="1702">
        <f t="shared" si="4"/>
        <v>51601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4696752</v>
      </c>
      <c r="D117" s="481">
        <v>275000</v>
      </c>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1" t="s">
        <v>1933</v>
      </c>
      <c r="B120" s="562">
        <v>3030</v>
      </c>
      <c r="C120" s="551"/>
      <c r="D120" s="466"/>
      <c r="E120" s="466"/>
      <c r="F120" s="466"/>
      <c r="G120" s="466"/>
      <c r="H120" s="466"/>
      <c r="I120" s="468"/>
      <c r="J120" s="467"/>
      <c r="K120" s="466"/>
    </row>
    <row r="121" spans="1:11" x14ac:dyDescent="0.2">
      <c r="A121" s="1496" t="s">
        <v>1798</v>
      </c>
      <c r="B121" s="564">
        <v>3099</v>
      </c>
      <c r="C121" s="551"/>
      <c r="D121" s="466">
        <v>194695</v>
      </c>
      <c r="E121" s="466"/>
      <c r="F121" s="466"/>
      <c r="G121" s="466"/>
      <c r="H121" s="466"/>
      <c r="I121" s="468"/>
      <c r="J121" s="467"/>
      <c r="K121" s="466"/>
    </row>
    <row r="122" spans="1:11" ht="12.6" customHeight="1" thickBot="1" x14ac:dyDescent="0.25">
      <c r="A122" s="1708" t="s">
        <v>488</v>
      </c>
      <c r="B122" s="1719"/>
      <c r="C122" s="1707">
        <f t="shared" ref="C122:H122" si="5">SUM(C117:C121)</f>
        <v>4696752</v>
      </c>
      <c r="D122" s="1707">
        <f t="shared" si="5"/>
        <v>469695</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58141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3231</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61372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34686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26244</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60930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4244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20080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f>5961+105497</f>
        <v>111458</v>
      </c>
      <c r="G152" s="467"/>
      <c r="H152" s="468"/>
      <c r="I152" s="468"/>
      <c r="J152" s="468"/>
      <c r="K152" s="468"/>
    </row>
    <row r="153" spans="1:11" ht="12.75" customHeight="1" x14ac:dyDescent="0.2">
      <c r="A153" s="463" t="s">
        <v>1057</v>
      </c>
      <c r="B153" s="562">
        <v>3510</v>
      </c>
      <c r="C153" s="551"/>
      <c r="D153" s="466"/>
      <c r="E153" s="561"/>
      <c r="F153" s="466">
        <v>113604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225062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304568</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4553</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455747</v>
      </c>
      <c r="D169" s="1722">
        <f t="shared" si="6"/>
        <v>0</v>
      </c>
      <c r="E169" s="1722">
        <f t="shared" si="6"/>
        <v>0</v>
      </c>
      <c r="F169" s="1722">
        <f t="shared" si="6"/>
        <v>225062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5152499</v>
      </c>
      <c r="D170" s="1715">
        <f t="shared" si="7"/>
        <v>469695</v>
      </c>
      <c r="E170" s="1715">
        <f t="shared" si="7"/>
        <v>0</v>
      </c>
      <c r="F170" s="1715">
        <f t="shared" si="7"/>
        <v>225062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1800</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197986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48085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246071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f>10992+229651</f>
        <v>240643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240643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6761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6761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15746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330178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345924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11152</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11152</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39680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1934</v>
      </c>
      <c r="B261" s="470">
        <v>4981</v>
      </c>
      <c r="C261" s="575"/>
      <c r="D261" s="576"/>
      <c r="E261" s="468"/>
      <c r="F261" s="576"/>
      <c r="G261" s="576"/>
      <c r="H261" s="468"/>
      <c r="I261" s="468"/>
      <c r="J261" s="468"/>
      <c r="K261" s="468"/>
    </row>
    <row r="262" spans="1:11" ht="12.75" customHeight="1" thickTop="1" thickBot="1" x14ac:dyDescent="0.25">
      <c r="A262" s="1932"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16715</v>
      </c>
      <c r="D263" s="576"/>
      <c r="E263" s="468"/>
      <c r="F263" s="576"/>
      <c r="G263" s="576"/>
      <c r="H263" s="468"/>
      <c r="I263" s="468"/>
      <c r="J263" s="468"/>
      <c r="K263" s="468"/>
    </row>
    <row r="264" spans="1:11" ht="12.75" customHeight="1" thickTop="1" thickBot="1" x14ac:dyDescent="0.25">
      <c r="A264" s="463" t="s">
        <v>377</v>
      </c>
      <c r="B264" s="470">
        <v>4992</v>
      </c>
      <c r="C264" s="575">
        <v>41524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948470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948470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8998494</v>
      </c>
      <c r="D268" s="1715">
        <f t="shared" si="12"/>
        <v>996408</v>
      </c>
      <c r="E268" s="1715">
        <f t="shared" si="12"/>
        <v>426128</v>
      </c>
      <c r="F268" s="1715">
        <f t="shared" si="12"/>
        <v>468625</v>
      </c>
      <c r="G268" s="1715">
        <f t="shared" si="12"/>
        <v>148198</v>
      </c>
      <c r="H268" s="1715">
        <f t="shared" si="12"/>
        <v>48058</v>
      </c>
      <c r="I268" s="1715">
        <f t="shared" si="12"/>
        <v>55662</v>
      </c>
      <c r="J268" s="1715">
        <f t="shared" si="12"/>
        <v>220918</v>
      </c>
      <c r="K268" s="1702">
        <f t="shared" si="12"/>
        <v>51601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00000"/>
  </sheetPr>
  <dimension ref="A1:N368"/>
  <sheetViews>
    <sheetView showGridLines="0" defaultGridColor="0" colorId="8" zoomScale="110" zoomScaleNormal="110" workbookViewId="0">
      <pane xSplit="2" ySplit="3" topLeftCell="E352" activePane="bottomRight" state="frozen"/>
      <selection pane="topRight" activeCell="C1" sqref="C1"/>
      <selection pane="bottomLeft" activeCell="A4" sqref="A4"/>
      <selection pane="bottomRight" activeCell="K152" sqref="K15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1604928+13014+33901+12404+701653+7440+1046694+12971</f>
        <v>3433005</v>
      </c>
      <c r="D5" s="466">
        <f>235305+2355+25102+215+1491+22184+109213+11932+168842+17319+14763</f>
        <v>608721</v>
      </c>
      <c r="E5" s="466">
        <f>75+573+2973+225</f>
        <v>3846</v>
      </c>
      <c r="F5" s="466">
        <f>703+6335+24147+6654+1879+2921+33909+8731</f>
        <v>85279</v>
      </c>
      <c r="G5" s="466">
        <f>2047+1163+2079+2260</f>
        <v>7549</v>
      </c>
      <c r="H5" s="466">
        <f>17+375+492+17+375+77+2098</f>
        <v>3451</v>
      </c>
      <c r="I5" s="467"/>
      <c r="J5" s="467"/>
      <c r="K5" s="1671">
        <f>SUM(C5:J5)</f>
        <v>4141851</v>
      </c>
      <c r="L5" s="466">
        <v>4372409</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f>136316+880</f>
        <v>137196</v>
      </c>
      <c r="D7" s="467">
        <f>14814+1686</f>
        <v>16500</v>
      </c>
      <c r="E7" s="467">
        <v>1214</v>
      </c>
      <c r="F7" s="467">
        <v>6324</v>
      </c>
      <c r="G7" s="467"/>
      <c r="H7" s="467"/>
      <c r="I7" s="467"/>
      <c r="J7" s="467"/>
      <c r="K7" s="1671">
        <f t="shared" ref="K7:K32" si="0">SUM(C7:J7)</f>
        <v>161234</v>
      </c>
      <c r="L7" s="466">
        <v>178369</v>
      </c>
    </row>
    <row r="8" spans="1:14" x14ac:dyDescent="0.2">
      <c r="A8" s="1504" t="s">
        <v>164</v>
      </c>
      <c r="B8" s="614">
        <v>1200</v>
      </c>
      <c r="C8" s="466">
        <f>29859+95953+294536+141222</f>
        <v>561570</v>
      </c>
      <c r="D8" s="466">
        <f>1484+1448+49099+23815+94+5140+2543</f>
        <v>83623</v>
      </c>
      <c r="E8" s="466">
        <v>2099</v>
      </c>
      <c r="F8" s="466"/>
      <c r="G8" s="466"/>
      <c r="H8" s="466"/>
      <c r="I8" s="467"/>
      <c r="J8" s="467"/>
      <c r="K8" s="1671">
        <f t="shared" si="0"/>
        <v>647292</v>
      </c>
      <c r="L8" s="466">
        <v>683228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103342</v>
      </c>
      <c r="D10" s="466">
        <f>4663+296</f>
        <v>4959</v>
      </c>
      <c r="E10" s="466"/>
      <c r="F10" s="466">
        <v>37863</v>
      </c>
      <c r="G10" s="466"/>
      <c r="H10" s="466"/>
      <c r="I10" s="467"/>
      <c r="J10" s="467"/>
      <c r="K10" s="1671">
        <f t="shared" si="0"/>
        <v>146164</v>
      </c>
      <c r="L10" s="466">
        <v>127255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f>25838+20458+256405</f>
        <v>302701</v>
      </c>
      <c r="D13" s="466">
        <f>2250+2560+43700+1+369+4636</f>
        <v>53516</v>
      </c>
      <c r="E13" s="466">
        <f>2291+2145</f>
        <v>4436</v>
      </c>
      <c r="F13" s="466">
        <f>17062+19115+1159+13404+1132+800+5866+2195+7096</f>
        <v>67829</v>
      </c>
      <c r="G13" s="466">
        <v>3558</v>
      </c>
      <c r="H13" s="466"/>
      <c r="I13" s="467"/>
      <c r="J13" s="467"/>
      <c r="K13" s="1671">
        <f t="shared" si="0"/>
        <v>432040</v>
      </c>
      <c r="L13" s="466">
        <v>387542</v>
      </c>
    </row>
    <row r="14" spans="1:14" x14ac:dyDescent="0.2">
      <c r="A14" s="1504" t="s">
        <v>963</v>
      </c>
      <c r="B14" s="614">
        <v>1500</v>
      </c>
      <c r="C14" s="466">
        <f>155944+6915+3303</f>
        <v>166162</v>
      </c>
      <c r="D14" s="466">
        <f>13577+2656+59</f>
        <v>16292</v>
      </c>
      <c r="E14" s="466">
        <f>3280+7654+365+4083+21723+5322</f>
        <v>42427</v>
      </c>
      <c r="F14" s="466">
        <f>708+123+1181+366+630+165+2645+2146</f>
        <v>7964</v>
      </c>
      <c r="G14" s="466">
        <f>1990+1445+8579+1445-2</f>
        <v>13457</v>
      </c>
      <c r="H14" s="466">
        <f>1614+980</f>
        <v>2594</v>
      </c>
      <c r="I14" s="467"/>
      <c r="J14" s="467"/>
      <c r="K14" s="1671">
        <f t="shared" si="0"/>
        <v>248896</v>
      </c>
      <c r="L14" s="466">
        <v>238346</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4703976</v>
      </c>
      <c r="D33" s="1670">
        <f t="shared" ref="D33:L33" si="1">SUM(D5:D32)</f>
        <v>783611</v>
      </c>
      <c r="E33" s="1670">
        <f t="shared" si="1"/>
        <v>54022</v>
      </c>
      <c r="F33" s="1670">
        <f t="shared" si="1"/>
        <v>205259</v>
      </c>
      <c r="G33" s="1670">
        <f t="shared" si="1"/>
        <v>24564</v>
      </c>
      <c r="H33" s="1670">
        <f t="shared" si="1"/>
        <v>6045</v>
      </c>
      <c r="I33" s="1670">
        <f t="shared" si="1"/>
        <v>0</v>
      </c>
      <c r="J33" s="1670">
        <f t="shared" si="1"/>
        <v>0</v>
      </c>
      <c r="K33" s="1670">
        <f t="shared" si="1"/>
        <v>5777477</v>
      </c>
      <c r="L33" s="1670">
        <f t="shared" si="1"/>
        <v>5987149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v>650</v>
      </c>
      <c r="K36" s="1671">
        <f t="shared" ref="K36:K41" si="2">SUM(C36:J36)</f>
        <v>650</v>
      </c>
      <c r="L36" s="466"/>
    </row>
    <row r="37" spans="1:14" x14ac:dyDescent="0.2">
      <c r="A37" s="1504" t="s">
        <v>1090</v>
      </c>
      <c r="B37" s="614">
        <v>2120</v>
      </c>
      <c r="C37" s="466">
        <f>13706+26647+26647+60352</f>
        <v>127352</v>
      </c>
      <c r="D37" s="466">
        <f>1095+2139+2139+10799+59+437+437+1087</f>
        <v>18192</v>
      </c>
      <c r="E37" s="466">
        <v>11340</v>
      </c>
      <c r="F37" s="466"/>
      <c r="G37" s="466"/>
      <c r="H37" s="466"/>
      <c r="I37" s="467"/>
      <c r="J37" s="467"/>
      <c r="K37" s="1671">
        <f t="shared" si="2"/>
        <v>156884</v>
      </c>
      <c r="L37" s="466">
        <v>161998</v>
      </c>
    </row>
    <row r="38" spans="1:14" x14ac:dyDescent="0.2">
      <c r="A38" s="1504" t="s">
        <v>198</v>
      </c>
      <c r="B38" s="614">
        <v>2130</v>
      </c>
      <c r="C38" s="466">
        <v>33284</v>
      </c>
      <c r="D38" s="466">
        <v>4649</v>
      </c>
      <c r="E38" s="466">
        <f>255+84</f>
        <v>339</v>
      </c>
      <c r="F38" s="466">
        <v>1282</v>
      </c>
      <c r="G38" s="466">
        <f>612+1631</f>
        <v>2243</v>
      </c>
      <c r="H38" s="466"/>
      <c r="I38" s="467"/>
      <c r="J38" s="467"/>
      <c r="K38" s="1671">
        <f t="shared" si="2"/>
        <v>41797</v>
      </c>
      <c r="L38" s="466">
        <v>54428</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v>1032</v>
      </c>
      <c r="I41" s="467"/>
      <c r="J41" s="467"/>
      <c r="K41" s="1671">
        <f t="shared" si="2"/>
        <v>1032</v>
      </c>
      <c r="L41" s="466">
        <v>500</v>
      </c>
    </row>
    <row r="42" spans="1:14" ht="12.75" customHeight="1" thickBot="1" x14ac:dyDescent="0.25">
      <c r="A42" s="1668" t="s">
        <v>560</v>
      </c>
      <c r="B42" s="1669" t="s">
        <v>716</v>
      </c>
      <c r="C42" s="1670">
        <f>SUM(C36:C41)</f>
        <v>160636</v>
      </c>
      <c r="D42" s="1670">
        <f t="shared" ref="D42:L42" si="3">SUM(D36:D41)</f>
        <v>22841</v>
      </c>
      <c r="E42" s="1670">
        <f t="shared" si="3"/>
        <v>11679</v>
      </c>
      <c r="F42" s="1670">
        <f t="shared" si="3"/>
        <v>1282</v>
      </c>
      <c r="G42" s="1670">
        <f t="shared" si="3"/>
        <v>2243</v>
      </c>
      <c r="H42" s="1670">
        <f t="shared" si="3"/>
        <v>1032</v>
      </c>
      <c r="I42" s="1670">
        <f t="shared" si="3"/>
        <v>0</v>
      </c>
      <c r="J42" s="1670">
        <f t="shared" si="3"/>
        <v>650</v>
      </c>
      <c r="K42" s="1670">
        <f t="shared" si="3"/>
        <v>200363</v>
      </c>
      <c r="L42" s="1670">
        <f t="shared" si="3"/>
        <v>216926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f>2156+3302</f>
        <v>5458</v>
      </c>
      <c r="D44" s="481">
        <v>59</v>
      </c>
      <c r="E44" s="481">
        <f>1295+29384+5000+16517+2241</f>
        <v>54437</v>
      </c>
      <c r="F44" s="481"/>
      <c r="G44" s="481">
        <v>2982</v>
      </c>
      <c r="H44" s="481"/>
      <c r="I44" s="467"/>
      <c r="J44" s="467"/>
      <c r="K44" s="1672">
        <f>SUM(C44:J44)</f>
        <v>62936</v>
      </c>
      <c r="L44" s="481">
        <v>75637</v>
      </c>
    </row>
    <row r="45" spans="1:14" x14ac:dyDescent="0.2">
      <c r="A45" s="1504" t="s">
        <v>815</v>
      </c>
      <c r="B45" s="614">
        <v>2220</v>
      </c>
      <c r="C45" s="466">
        <f>13895+579</f>
        <v>14474</v>
      </c>
      <c r="D45" s="466"/>
      <c r="E45" s="466"/>
      <c r="F45" s="466">
        <f>905+950+628+606+128</f>
        <v>3217</v>
      </c>
      <c r="G45" s="466"/>
      <c r="H45" s="466"/>
      <c r="I45" s="467"/>
      <c r="J45" s="467"/>
      <c r="K45" s="1672">
        <f>SUM(C45:J45)</f>
        <v>17691</v>
      </c>
      <c r="L45" s="466">
        <v>18737</v>
      </c>
    </row>
    <row r="46" spans="1:14" x14ac:dyDescent="0.2">
      <c r="A46" s="1504" t="s">
        <v>816</v>
      </c>
      <c r="B46" s="614">
        <v>2230</v>
      </c>
      <c r="C46" s="466"/>
      <c r="D46" s="466"/>
      <c r="E46" s="466">
        <f>21313+20871</f>
        <v>42184</v>
      </c>
      <c r="F46" s="466">
        <v>465</v>
      </c>
      <c r="G46" s="466"/>
      <c r="H46" s="466"/>
      <c r="I46" s="467"/>
      <c r="J46" s="467"/>
      <c r="K46" s="1672">
        <f>SUM(C46:J46)</f>
        <v>42649</v>
      </c>
      <c r="L46" s="466">
        <v>31250</v>
      </c>
    </row>
    <row r="47" spans="1:14" ht="12.75" customHeight="1" thickBot="1" x14ac:dyDescent="0.25">
      <c r="A47" s="1668" t="s">
        <v>561</v>
      </c>
      <c r="B47" s="1669" t="s">
        <v>32</v>
      </c>
      <c r="C47" s="1670">
        <f>SUM(C44:C46)</f>
        <v>19932</v>
      </c>
      <c r="D47" s="1670">
        <f t="shared" ref="D47:K47" si="4">SUM(D44:D46)</f>
        <v>59</v>
      </c>
      <c r="E47" s="1670">
        <f t="shared" si="4"/>
        <v>96621</v>
      </c>
      <c r="F47" s="1670">
        <f t="shared" si="4"/>
        <v>3682</v>
      </c>
      <c r="G47" s="1670">
        <f t="shared" si="4"/>
        <v>2982</v>
      </c>
      <c r="H47" s="1670">
        <f t="shared" si="4"/>
        <v>0</v>
      </c>
      <c r="I47" s="1670">
        <f t="shared" si="4"/>
        <v>0</v>
      </c>
      <c r="J47" s="1670">
        <f t="shared" si="4"/>
        <v>0</v>
      </c>
      <c r="K47" s="1670">
        <f t="shared" si="4"/>
        <v>123276</v>
      </c>
      <c r="L47" s="1670">
        <f>SUM(L44:L46)</f>
        <v>125624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2110</v>
      </c>
      <c r="D49" s="481"/>
      <c r="E49" s="481">
        <f>4600+11028+14024</f>
        <v>29652</v>
      </c>
      <c r="F49" s="481">
        <v>3022</v>
      </c>
      <c r="G49" s="481"/>
      <c r="H49" s="481">
        <v>3101</v>
      </c>
      <c r="I49" s="467"/>
      <c r="J49" s="467"/>
      <c r="K49" s="1672">
        <f>SUM(C49:J49)</f>
        <v>37885</v>
      </c>
      <c r="L49" s="481">
        <v>65872</v>
      </c>
    </row>
    <row r="50" spans="1:14" x14ac:dyDescent="0.2">
      <c r="A50" s="1504" t="s">
        <v>818</v>
      </c>
      <c r="B50" s="614">
        <v>2320</v>
      </c>
      <c r="C50" s="466">
        <v>153153</v>
      </c>
      <c r="D50" s="466">
        <f>33999+2212</f>
        <v>36211</v>
      </c>
      <c r="E50" s="466">
        <v>5116</v>
      </c>
      <c r="F50" s="466">
        <v>1504</v>
      </c>
      <c r="G50" s="466"/>
      <c r="H50" s="466">
        <v>2316</v>
      </c>
      <c r="I50" s="467"/>
      <c r="J50" s="467"/>
      <c r="K50" s="1672">
        <f>SUM(C50:J50)</f>
        <v>198300</v>
      </c>
      <c r="L50" s="466">
        <v>192174</v>
      </c>
    </row>
    <row r="51" spans="1:14" x14ac:dyDescent="0.2">
      <c r="A51" s="1504" t="s">
        <v>42</v>
      </c>
      <c r="B51" s="614">
        <v>2330</v>
      </c>
      <c r="C51" s="466"/>
      <c r="D51" s="466"/>
      <c r="E51" s="466"/>
      <c r="F51" s="466"/>
      <c r="G51" s="466"/>
      <c r="H51" s="466"/>
      <c r="I51" s="467"/>
      <c r="J51" s="467"/>
      <c r="K51" s="1672">
        <f>SUM(C51:J51)</f>
        <v>0</v>
      </c>
      <c r="L51" s="466">
        <v>500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155263</v>
      </c>
      <c r="D53" s="1670">
        <f t="shared" ref="D53:L53" si="5">SUM(D49:D52)</f>
        <v>36211</v>
      </c>
      <c r="E53" s="1670">
        <f t="shared" si="5"/>
        <v>34768</v>
      </c>
      <c r="F53" s="1670">
        <f t="shared" si="5"/>
        <v>4526</v>
      </c>
      <c r="G53" s="1670">
        <f t="shared" si="5"/>
        <v>0</v>
      </c>
      <c r="H53" s="1670">
        <f t="shared" si="5"/>
        <v>5417</v>
      </c>
      <c r="I53" s="1670">
        <f t="shared" si="5"/>
        <v>0</v>
      </c>
      <c r="J53" s="1670">
        <f t="shared" si="5"/>
        <v>0</v>
      </c>
      <c r="K53" s="1670">
        <f t="shared" si="5"/>
        <v>236185</v>
      </c>
      <c r="L53" s="1670">
        <f t="shared" si="5"/>
        <v>258546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360610</v>
      </c>
      <c r="D55" s="481">
        <f>62237+4321</f>
        <v>66558</v>
      </c>
      <c r="E55" s="481">
        <f>650+2715+2715+300+345+130</f>
        <v>6855</v>
      </c>
      <c r="F55" s="481">
        <f>813+198+371</f>
        <v>1382</v>
      </c>
      <c r="G55" s="481">
        <f>1710+525+1538</f>
        <v>3773</v>
      </c>
      <c r="H55" s="481">
        <f>270+20+391+478</f>
        <v>1159</v>
      </c>
      <c r="I55" s="467"/>
      <c r="J55" s="467"/>
      <c r="K55" s="1672">
        <f>SUM(C55:J55)</f>
        <v>440337</v>
      </c>
      <c r="L55" s="481">
        <v>441455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360610</v>
      </c>
      <c r="D57" s="1674">
        <f t="shared" ref="D57:K57" si="6">SUM(D55:D56)</f>
        <v>66558</v>
      </c>
      <c r="E57" s="1674">
        <f t="shared" si="6"/>
        <v>6855</v>
      </c>
      <c r="F57" s="1674">
        <f t="shared" si="6"/>
        <v>1382</v>
      </c>
      <c r="G57" s="1674">
        <f t="shared" si="6"/>
        <v>3773</v>
      </c>
      <c r="H57" s="1674">
        <f t="shared" si="6"/>
        <v>1159</v>
      </c>
      <c r="I57" s="1674">
        <f t="shared" si="6"/>
        <v>0</v>
      </c>
      <c r="J57" s="1674">
        <f t="shared" si="6"/>
        <v>0</v>
      </c>
      <c r="K57" s="1674">
        <f t="shared" si="6"/>
        <v>440337</v>
      </c>
      <c r="L57" s="1670">
        <f>SUM(L55:L56)</f>
        <v>441455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f>87558+5837</f>
        <v>93395</v>
      </c>
      <c r="D60" s="466">
        <v>4691</v>
      </c>
      <c r="E60" s="466">
        <f>315+8385+15380+2875+28727+49</f>
        <v>55731</v>
      </c>
      <c r="F60" s="466">
        <f>3228+21951</f>
        <v>25179</v>
      </c>
      <c r="G60" s="466"/>
      <c r="H60" s="466">
        <f>8015+459</f>
        <v>8474</v>
      </c>
      <c r="I60" s="467"/>
      <c r="J60" s="467"/>
      <c r="K60" s="1672">
        <f t="shared" si="7"/>
        <v>187470</v>
      </c>
      <c r="L60" s="466">
        <v>178728</v>
      </c>
      <c r="M60" s="609"/>
      <c r="N60" s="609"/>
    </row>
    <row r="61" spans="1:14" s="343" customFormat="1" x14ac:dyDescent="0.2">
      <c r="A61" s="1504" t="s">
        <v>197</v>
      </c>
      <c r="B61" s="614">
        <v>2540</v>
      </c>
      <c r="C61" s="466"/>
      <c r="D61" s="466"/>
      <c r="E61" s="466">
        <v>7488</v>
      </c>
      <c r="F61" s="466">
        <f>3726+323+323+36+34</f>
        <v>4442</v>
      </c>
      <c r="G61" s="466">
        <v>6197</v>
      </c>
      <c r="H61" s="466"/>
      <c r="I61" s="467"/>
      <c r="J61" s="467"/>
      <c r="K61" s="1672">
        <f t="shared" si="7"/>
        <v>18127</v>
      </c>
      <c r="L61" s="466">
        <v>14500</v>
      </c>
      <c r="M61" s="609"/>
      <c r="N61" s="609"/>
    </row>
    <row r="62" spans="1:14" s="343" customFormat="1" x14ac:dyDescent="0.2">
      <c r="A62" s="1504" t="s">
        <v>953</v>
      </c>
      <c r="B62" s="614">
        <v>2550</v>
      </c>
      <c r="C62" s="466"/>
      <c r="D62" s="466"/>
      <c r="E62" s="466">
        <v>4617</v>
      </c>
      <c r="F62" s="466"/>
      <c r="G62" s="466"/>
      <c r="H62" s="466"/>
      <c r="I62" s="467"/>
      <c r="J62" s="467"/>
      <c r="K62" s="1672">
        <f t="shared" si="7"/>
        <v>4617</v>
      </c>
      <c r="L62" s="466"/>
      <c r="M62" s="609"/>
      <c r="N62" s="609"/>
    </row>
    <row r="63" spans="1:14" s="609" customFormat="1" x14ac:dyDescent="0.2">
      <c r="A63" s="1504" t="s">
        <v>100</v>
      </c>
      <c r="B63" s="614">
        <v>2560</v>
      </c>
      <c r="C63" s="466">
        <f>73212+3028</f>
        <v>76240</v>
      </c>
      <c r="D63" s="466">
        <f>7727+10</f>
        <v>7737</v>
      </c>
      <c r="E63" s="466">
        <v>219292</v>
      </c>
      <c r="F63" s="466">
        <f>3699+1050</f>
        <v>4749</v>
      </c>
      <c r="G63" s="466">
        <v>4398</v>
      </c>
      <c r="H63" s="466"/>
      <c r="I63" s="467"/>
      <c r="J63" s="467"/>
      <c r="K63" s="1672">
        <f t="shared" si="7"/>
        <v>312416</v>
      </c>
      <c r="L63" s="466">
        <v>376587</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169635</v>
      </c>
      <c r="D65" s="1670">
        <f t="shared" ref="D65:L65" si="8">SUM(D59:D64)</f>
        <v>12428</v>
      </c>
      <c r="E65" s="1670">
        <f t="shared" si="8"/>
        <v>287128</v>
      </c>
      <c r="F65" s="1670">
        <f t="shared" si="8"/>
        <v>34370</v>
      </c>
      <c r="G65" s="1670">
        <f t="shared" si="8"/>
        <v>10595</v>
      </c>
      <c r="H65" s="1670">
        <f t="shared" si="8"/>
        <v>8474</v>
      </c>
      <c r="I65" s="1670">
        <f t="shared" si="8"/>
        <v>0</v>
      </c>
      <c r="J65" s="1670">
        <f t="shared" si="8"/>
        <v>0</v>
      </c>
      <c r="K65" s="1670">
        <f t="shared" si="8"/>
        <v>522630</v>
      </c>
      <c r="L65" s="1670">
        <f t="shared" si="8"/>
        <v>569815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84635</v>
      </c>
      <c r="D71" s="466">
        <v>4649</v>
      </c>
      <c r="E71" s="466">
        <f>57959+2289+2090+38+725</f>
        <v>63101</v>
      </c>
      <c r="F71" s="466">
        <f>12047+105+168+105</f>
        <v>12425</v>
      </c>
      <c r="G71" s="466">
        <v>13091</v>
      </c>
      <c r="H71" s="466"/>
      <c r="I71" s="467"/>
      <c r="J71" s="467"/>
      <c r="K71" s="1672">
        <f>SUM(C71:J71)</f>
        <v>177901</v>
      </c>
      <c r="L71" s="466">
        <v>133254</v>
      </c>
      <c r="M71" s="609"/>
      <c r="N71" s="609"/>
    </row>
    <row r="72" spans="1:14" s="343" customFormat="1" ht="12.75" customHeight="1" thickBot="1" x14ac:dyDescent="0.25">
      <c r="A72" s="1668" t="s">
        <v>37</v>
      </c>
      <c r="B72" s="1675" t="s">
        <v>36</v>
      </c>
      <c r="C72" s="1670">
        <f>SUM(C67:C71)</f>
        <v>84635</v>
      </c>
      <c r="D72" s="1670">
        <f t="shared" ref="D72:K72" si="9">SUM(D67:D71)</f>
        <v>4649</v>
      </c>
      <c r="E72" s="1670">
        <f t="shared" si="9"/>
        <v>63101</v>
      </c>
      <c r="F72" s="1670">
        <f t="shared" si="9"/>
        <v>12425</v>
      </c>
      <c r="G72" s="1670">
        <f t="shared" si="9"/>
        <v>13091</v>
      </c>
      <c r="H72" s="1670">
        <f t="shared" si="9"/>
        <v>0</v>
      </c>
      <c r="I72" s="1670">
        <f t="shared" si="9"/>
        <v>0</v>
      </c>
      <c r="J72" s="1670">
        <f t="shared" si="9"/>
        <v>0</v>
      </c>
      <c r="K72" s="1670">
        <f t="shared" si="9"/>
        <v>177901</v>
      </c>
      <c r="L72" s="1670">
        <f>SUM(L67:L71)</f>
        <v>133254</v>
      </c>
      <c r="M72" s="609"/>
      <c r="N72" s="609"/>
    </row>
    <row r="73" spans="1:14" s="343" customFormat="1" ht="14.25" thickTop="1" thickBot="1" x14ac:dyDescent="0.25">
      <c r="A73" s="1510" t="s">
        <v>980</v>
      </c>
      <c r="B73" s="632" t="s">
        <v>574</v>
      </c>
      <c r="C73" s="573"/>
      <c r="D73" s="573"/>
      <c r="E73" s="573"/>
      <c r="F73" s="573">
        <v>373</v>
      </c>
      <c r="G73" s="573"/>
      <c r="H73" s="573"/>
      <c r="I73" s="531"/>
      <c r="J73" s="531"/>
      <c r="K73" s="1670">
        <f>SUM(C73:J73)</f>
        <v>373</v>
      </c>
      <c r="L73" s="576">
        <v>1000</v>
      </c>
      <c r="M73" s="609"/>
      <c r="N73" s="609"/>
    </row>
    <row r="74" spans="1:14" ht="12.75" customHeight="1" thickTop="1" thickBot="1" x14ac:dyDescent="0.25">
      <c r="A74" s="1668" t="s">
        <v>811</v>
      </c>
      <c r="B74" s="1676">
        <v>2000</v>
      </c>
      <c r="C74" s="1677">
        <f>SUM(C42,C47,C53,C57,C65,C72,C73)</f>
        <v>950711</v>
      </c>
      <c r="D74" s="1677">
        <f t="shared" ref="D74:K74" si="10">SUM(D42,D47,D53,D57,D65,D72,D73)</f>
        <v>142746</v>
      </c>
      <c r="E74" s="1677">
        <f t="shared" si="10"/>
        <v>500152</v>
      </c>
      <c r="F74" s="1677">
        <f t="shared" si="10"/>
        <v>58040</v>
      </c>
      <c r="G74" s="1677">
        <f t="shared" si="10"/>
        <v>32684</v>
      </c>
      <c r="H74" s="1677">
        <f t="shared" si="10"/>
        <v>16082</v>
      </c>
      <c r="I74" s="1677">
        <f t="shared" si="10"/>
        <v>0</v>
      </c>
      <c r="J74" s="1677">
        <f t="shared" si="10"/>
        <v>650</v>
      </c>
      <c r="K74" s="1677">
        <f t="shared" si="10"/>
        <v>1701065</v>
      </c>
      <c r="L74" s="1677">
        <f>SUM(L42,L47,L53,L57,L65,L72,L73)</f>
        <v>1746620</v>
      </c>
    </row>
    <row r="75" spans="1:14" s="259" customFormat="1" ht="15.75" customHeight="1" thickTop="1" thickBot="1" x14ac:dyDescent="0.25">
      <c r="A75" s="1610" t="s">
        <v>47</v>
      </c>
      <c r="B75" s="1611" t="s">
        <v>575</v>
      </c>
      <c r="C75" s="573">
        <f>21192+2328</f>
        <v>23520</v>
      </c>
      <c r="D75" s="573">
        <f>506+46</f>
        <v>552</v>
      </c>
      <c r="E75" s="573">
        <f>-99+865+2679</f>
        <v>3445</v>
      </c>
      <c r="F75" s="573">
        <v>12367</v>
      </c>
      <c r="G75" s="573"/>
      <c r="H75" s="573"/>
      <c r="I75" s="531"/>
      <c r="J75" s="531"/>
      <c r="K75" s="1670">
        <f>SUM(C75:J75)</f>
        <v>39884</v>
      </c>
      <c r="L75" s="576">
        <v>69059</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650</v>
      </c>
      <c r="F78" s="616"/>
      <c r="G78" s="616"/>
      <c r="H78" s="634"/>
      <c r="I78" s="477"/>
      <c r="J78" s="477"/>
      <c r="K78" s="1671">
        <f t="shared" ref="K78:K83" si="11">SUM(C78:J78)</f>
        <v>650</v>
      </c>
      <c r="L78" s="481"/>
    </row>
    <row r="79" spans="1:14" x14ac:dyDescent="0.2">
      <c r="A79" s="1504" t="s">
        <v>304</v>
      </c>
      <c r="B79" s="614">
        <v>4120</v>
      </c>
      <c r="C79" s="616"/>
      <c r="D79" s="616"/>
      <c r="E79" s="466">
        <v>6313</v>
      </c>
      <c r="F79" s="616"/>
      <c r="G79" s="616"/>
      <c r="H79" s="466">
        <v>619472</v>
      </c>
      <c r="I79" s="477"/>
      <c r="J79" s="477"/>
      <c r="K79" s="1671">
        <f t="shared" si="11"/>
        <v>625785</v>
      </c>
      <c r="L79" s="466">
        <v>748609</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11767</v>
      </c>
      <c r="I83" s="477"/>
      <c r="J83" s="477"/>
      <c r="K83" s="1671">
        <f t="shared" si="11"/>
        <v>11767</v>
      </c>
      <c r="L83" s="466"/>
    </row>
    <row r="84" spans="1:12" ht="13.5" thickBot="1" x14ac:dyDescent="0.25">
      <c r="A84" s="1668" t="s">
        <v>1485</v>
      </c>
      <c r="B84" s="1678">
        <v>4100</v>
      </c>
      <c r="C84" s="616"/>
      <c r="D84" s="616"/>
      <c r="E84" s="1670">
        <f>SUM(E78:E83)</f>
        <v>6963</v>
      </c>
      <c r="F84" s="616"/>
      <c r="G84" s="616"/>
      <c r="H84" s="1670">
        <f>SUM(H78:H83)</f>
        <v>631239</v>
      </c>
      <c r="I84" s="477"/>
      <c r="J84" s="477"/>
      <c r="K84" s="1670">
        <f>SUM(K78:K83)</f>
        <v>638202</v>
      </c>
      <c r="L84" s="1670">
        <f>SUM(L78:L83)</f>
        <v>748609</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98983</v>
      </c>
      <c r="I86" s="477"/>
      <c r="J86" s="477"/>
      <c r="K86" s="1677">
        <f t="shared" ref="K86:K98" si="12">H86</f>
        <v>98983</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98983</v>
      </c>
      <c r="I92" s="477"/>
      <c r="J92" s="477"/>
      <c r="K92" s="1677">
        <f t="shared" si="12"/>
        <v>98983</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6963</v>
      </c>
      <c r="F102" s="616"/>
      <c r="G102" s="616"/>
      <c r="H102" s="1677">
        <f>SUM(H84,H92,H100,H101)</f>
        <v>730222</v>
      </c>
      <c r="I102" s="477"/>
      <c r="J102" s="477"/>
      <c r="K102" s="1677">
        <f>SUM(K84,K92,K100,K101)</f>
        <v>737185</v>
      </c>
      <c r="L102" s="1677">
        <f>SUM(L84,L92,L100,L101)</f>
        <v>748609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5678207</v>
      </c>
      <c r="D114" s="1670">
        <f t="shared" ref="D114:K114" si="13">SUM(D33,D74,D75,D102,D112,D113)</f>
        <v>926909</v>
      </c>
      <c r="E114" s="1670">
        <f t="shared" si="13"/>
        <v>564582</v>
      </c>
      <c r="F114" s="1670">
        <f t="shared" si="13"/>
        <v>275666</v>
      </c>
      <c r="G114" s="1670">
        <f t="shared" si="13"/>
        <v>57248</v>
      </c>
      <c r="H114" s="1670">
        <f>SUM(H33,H74,H75,H102,H112,H113)</f>
        <v>752349</v>
      </c>
      <c r="I114" s="1670">
        <f t="shared" si="13"/>
        <v>0</v>
      </c>
      <c r="J114" s="1670">
        <f t="shared" si="13"/>
        <v>650</v>
      </c>
      <c r="K114" s="1670">
        <f t="shared" si="13"/>
        <v>8255611</v>
      </c>
      <c r="L114" s="1670">
        <f>SUM(L33,L74,L75,L102,L112,L113)</f>
        <v>8551437</v>
      </c>
    </row>
    <row r="115" spans="1:14" ht="13.5" thickTop="1" x14ac:dyDescent="0.2">
      <c r="A115" s="2155" t="s">
        <v>996</v>
      </c>
      <c r="B115" s="2156"/>
      <c r="C115" s="618"/>
      <c r="D115" s="618"/>
      <c r="E115" s="618"/>
      <c r="F115" s="618"/>
      <c r="G115" s="618"/>
      <c r="H115" s="618"/>
      <c r="I115" s="618"/>
      <c r="J115" s="618"/>
      <c r="K115" s="1684">
        <f>'Revenues 9-14'!C268-'Expenditures 15-22'!K114</f>
        <v>742883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f>281263+26773</f>
        <v>308036</v>
      </c>
      <c r="D124" s="466">
        <f>28334+6753</f>
        <v>35087</v>
      </c>
      <c r="E124" s="466">
        <f>10720+56002+26976+33752</f>
        <v>127450</v>
      </c>
      <c r="F124" s="466">
        <f>88414+156925</f>
        <v>245339</v>
      </c>
      <c r="G124" s="466">
        <f>212348+14926+4088+36378</f>
        <v>267740</v>
      </c>
      <c r="H124" s="466"/>
      <c r="I124" s="467"/>
      <c r="J124" s="467"/>
      <c r="K124" s="1670">
        <f>SUM(C124:J124)</f>
        <v>983652</v>
      </c>
      <c r="L124" s="466">
        <v>974230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308036</v>
      </c>
      <c r="D127" s="1670">
        <f t="shared" ref="D127:L127" si="14">SUM(D122:D126)</f>
        <v>35087</v>
      </c>
      <c r="E127" s="1670">
        <f t="shared" si="14"/>
        <v>127450</v>
      </c>
      <c r="F127" s="1670">
        <f t="shared" si="14"/>
        <v>245339</v>
      </c>
      <c r="G127" s="1670">
        <f t="shared" si="14"/>
        <v>267740</v>
      </c>
      <c r="H127" s="1670">
        <f t="shared" si="14"/>
        <v>0</v>
      </c>
      <c r="I127" s="1670">
        <f t="shared" si="14"/>
        <v>0</v>
      </c>
      <c r="J127" s="1670">
        <f t="shared" si="14"/>
        <v>0</v>
      </c>
      <c r="K127" s="1670">
        <f t="shared" si="14"/>
        <v>983652</v>
      </c>
      <c r="L127" s="1670">
        <f t="shared" si="14"/>
        <v>974230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308036</v>
      </c>
      <c r="D129" s="1677">
        <f t="shared" ref="D129:L129" si="15">SUM(D120,D127,D128)</f>
        <v>35087</v>
      </c>
      <c r="E129" s="1677">
        <f t="shared" si="15"/>
        <v>127450</v>
      </c>
      <c r="F129" s="1677">
        <f t="shared" si="15"/>
        <v>245339</v>
      </c>
      <c r="G129" s="1677">
        <f t="shared" si="15"/>
        <v>267740</v>
      </c>
      <c r="H129" s="1677">
        <f t="shared" si="15"/>
        <v>0</v>
      </c>
      <c r="I129" s="1677">
        <f t="shared" si="15"/>
        <v>0</v>
      </c>
      <c r="J129" s="1677">
        <f t="shared" si="15"/>
        <v>0</v>
      </c>
      <c r="K129" s="1677">
        <f t="shared" si="15"/>
        <v>983652</v>
      </c>
      <c r="L129" s="1677">
        <f t="shared" si="15"/>
        <v>974230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308036</v>
      </c>
      <c r="D151" s="1670">
        <f t="shared" ref="D151:K151" si="16">SUM(D129,D130,D139,D149,D150)</f>
        <v>35087</v>
      </c>
      <c r="E151" s="1670">
        <f t="shared" si="16"/>
        <v>127450</v>
      </c>
      <c r="F151" s="1670">
        <f t="shared" si="16"/>
        <v>245339</v>
      </c>
      <c r="G151" s="1670">
        <f t="shared" si="16"/>
        <v>267740</v>
      </c>
      <c r="H151" s="1670">
        <f t="shared" si="16"/>
        <v>0</v>
      </c>
      <c r="I151" s="1670">
        <f t="shared" si="16"/>
        <v>0</v>
      </c>
      <c r="J151" s="1670">
        <f t="shared" si="16"/>
        <v>0</v>
      </c>
      <c r="K151" s="1670">
        <f t="shared" si="16"/>
        <v>983652</v>
      </c>
      <c r="L151" s="1670">
        <f>SUM(L129,L130,L139,L149,L150)</f>
        <v>974230</v>
      </c>
    </row>
    <row r="152" spans="1:14" ht="12.75" customHeight="1" thickTop="1" x14ac:dyDescent="0.2">
      <c r="A152" s="2175" t="s">
        <v>1178</v>
      </c>
      <c r="B152" s="2176"/>
      <c r="C152" s="618"/>
      <c r="D152" s="618"/>
      <c r="E152" s="618"/>
      <c r="F152" s="618"/>
      <c r="G152" s="618"/>
      <c r="H152" s="618"/>
      <c r="I152" s="618"/>
      <c r="J152" s="616"/>
      <c r="K152" s="1684">
        <f>'Revenues 9-14'!D268-'Expenditures 15-22'!K151</f>
        <v>12756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157896</v>
      </c>
      <c r="I169" s="616"/>
      <c r="J169" s="616"/>
      <c r="K169" s="1671">
        <f>SUM(C169:H169)</f>
        <v>157896</v>
      </c>
      <c r="L169" s="656">
        <v>157934</v>
      </c>
    </row>
    <row r="170" spans="1:14" ht="33.75" customHeight="1" x14ac:dyDescent="0.2">
      <c r="A170" s="669" t="s">
        <v>1670</v>
      </c>
      <c r="B170" s="671" t="s">
        <v>31</v>
      </c>
      <c r="C170" s="616"/>
      <c r="D170" s="616"/>
      <c r="E170" s="616"/>
      <c r="F170" s="616"/>
      <c r="G170" s="616"/>
      <c r="H170" s="569">
        <v>175000</v>
      </c>
      <c r="I170" s="616"/>
      <c r="J170" s="616"/>
      <c r="K170" s="1671">
        <f>SUM(C170:J170)</f>
        <v>175000</v>
      </c>
      <c r="L170" s="569">
        <v>175000</v>
      </c>
    </row>
    <row r="171" spans="1:14" ht="15.75" customHeight="1" x14ac:dyDescent="0.2">
      <c r="A171" s="621" t="s">
        <v>766</v>
      </c>
      <c r="B171" s="672" t="s">
        <v>84</v>
      </c>
      <c r="C171" s="616"/>
      <c r="D171" s="616"/>
      <c r="E171" s="466"/>
      <c r="F171" s="616"/>
      <c r="G171" s="616"/>
      <c r="H171" s="569">
        <v>1100</v>
      </c>
      <c r="I171" s="477"/>
      <c r="J171" s="616"/>
      <c r="K171" s="1671">
        <f>SUM(C171:J171)</f>
        <v>1100</v>
      </c>
      <c r="L171" s="569"/>
    </row>
    <row r="172" spans="1:14" ht="12.75" customHeight="1" thickBot="1" x14ac:dyDescent="0.25">
      <c r="A172" s="1668" t="s">
        <v>638</v>
      </c>
      <c r="B172" s="1669" t="s">
        <v>492</v>
      </c>
      <c r="C172" s="616"/>
      <c r="D172" s="616"/>
      <c r="E172" s="1677">
        <f>SUM(E168,E169,E170,E171)</f>
        <v>0</v>
      </c>
      <c r="F172" s="616"/>
      <c r="G172" s="616"/>
      <c r="H172" s="1677">
        <f>SUM(H168,H169,H170,H171)</f>
        <v>333996</v>
      </c>
      <c r="I172" s="638"/>
      <c r="J172" s="616"/>
      <c r="K172" s="1677">
        <f>SUM(K168,K169,K170,K171)</f>
        <v>333996</v>
      </c>
      <c r="L172" s="1677">
        <f>SUM(L168,L169,L170,L171)</f>
        <v>332934</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333996</v>
      </c>
      <c r="I174" s="638"/>
      <c r="J174" s="616"/>
      <c r="K174" s="1677">
        <f>SUM(K160,K172,K173)</f>
        <v>333996</v>
      </c>
      <c r="L174" s="1677">
        <f>SUM(L160,L172,L173)</f>
        <v>332934</v>
      </c>
    </row>
    <row r="175" spans="1:14" ht="13.5" thickTop="1" x14ac:dyDescent="0.2">
      <c r="A175" s="2155" t="s">
        <v>996</v>
      </c>
      <c r="B175" s="2156"/>
      <c r="C175" s="616"/>
      <c r="D175" s="616"/>
      <c r="E175" s="616"/>
      <c r="F175" s="616"/>
      <c r="G175" s="616"/>
      <c r="H175" s="618"/>
      <c r="I175" s="616"/>
      <c r="J175" s="616"/>
      <c r="K175" s="1684">
        <f>'Revenues 9-14'!E268-'Expenditures 15-22'!K174</f>
        <v>92132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107643+6612+23805+68378+37942</f>
        <v>244380</v>
      </c>
      <c r="D182" s="466">
        <f>530+259+59+10218+516</f>
        <v>11582</v>
      </c>
      <c r="E182" s="466">
        <f>44094+14497+948</f>
        <v>59539</v>
      </c>
      <c r="F182" s="466">
        <f>63465+1049</f>
        <v>64514</v>
      </c>
      <c r="G182" s="466">
        <f>996+22134+29615</f>
        <v>52745</v>
      </c>
      <c r="H182" s="466"/>
      <c r="I182" s="467"/>
      <c r="J182" s="467"/>
      <c r="K182" s="1671">
        <f>SUM(C182:J182)</f>
        <v>432760</v>
      </c>
      <c r="L182" s="466">
        <v>439314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244380</v>
      </c>
      <c r="D184" s="1677">
        <f t="shared" ref="D184:J184" si="17">SUM(D180,D182,D183)</f>
        <v>11582</v>
      </c>
      <c r="E184" s="1677">
        <f t="shared" si="17"/>
        <v>59539</v>
      </c>
      <c r="F184" s="1677">
        <f t="shared" si="17"/>
        <v>64514</v>
      </c>
      <c r="G184" s="1677">
        <f t="shared" si="17"/>
        <v>52745</v>
      </c>
      <c r="H184" s="1677">
        <f t="shared" si="17"/>
        <v>0</v>
      </c>
      <c r="I184" s="1677">
        <f t="shared" si="17"/>
        <v>0</v>
      </c>
      <c r="J184" s="1677">
        <f t="shared" si="17"/>
        <v>0</v>
      </c>
      <c r="K184" s="1677">
        <f>SUM(K180,K182,K183)</f>
        <v>432760</v>
      </c>
      <c r="L184" s="1677">
        <f>SUM(L180, L182:L183)</f>
        <v>439314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1035</v>
      </c>
      <c r="F188" s="616"/>
      <c r="G188" s="616"/>
      <c r="H188" s="466"/>
      <c r="I188" s="477"/>
      <c r="J188" s="616"/>
      <c r="K188" s="1671">
        <f t="shared" ref="K188:K193" si="18">SUM(E188,H188)</f>
        <v>1035</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1035</v>
      </c>
      <c r="F194" s="616"/>
      <c r="G194" s="616"/>
      <c r="H194" s="1670">
        <f>SUM(H188:H193)</f>
        <v>0</v>
      </c>
      <c r="I194" s="477"/>
      <c r="J194" s="616"/>
      <c r="K194" s="1670">
        <f>SUM(K188:K193)</f>
        <v>1035</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1035</v>
      </c>
      <c r="F196" s="616"/>
      <c r="G196" s="616"/>
      <c r="H196" s="1677">
        <f>SUM(H194,H195)</f>
        <v>0</v>
      </c>
      <c r="I196" s="477"/>
      <c r="J196" s="616"/>
      <c r="K196" s="1677">
        <f>SUM(K194,K195)</f>
        <v>1035</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244380</v>
      </c>
      <c r="D210" s="1670">
        <f>SUM(D184,D185)</f>
        <v>11582</v>
      </c>
      <c r="E210" s="1670">
        <f>SUM(E184,E185,E196)</f>
        <v>60574</v>
      </c>
      <c r="F210" s="1670">
        <f>SUM(F184,F185)</f>
        <v>64514</v>
      </c>
      <c r="G210" s="1670">
        <f>SUM(G184,G185)</f>
        <v>52745</v>
      </c>
      <c r="H210" s="1670">
        <f>SUM(H184,H185,H196,H208,H209)</f>
        <v>0</v>
      </c>
      <c r="I210" s="1670">
        <f>SUM(I184,I185)</f>
        <v>0</v>
      </c>
      <c r="J210" s="1670">
        <f>SUM(J184,J185)</f>
        <v>0</v>
      </c>
      <c r="K210" s="1671">
        <f>SUM(K184,K185,K196,K208,K209)</f>
        <v>433795</v>
      </c>
      <c r="L210" s="1670">
        <f>SUM(L184,L185,L196,L208,L209)</f>
        <v>439314</v>
      </c>
    </row>
    <row r="211" spans="1:14" ht="13.5" thickTop="1" x14ac:dyDescent="0.2">
      <c r="A211" s="2155" t="s">
        <v>996</v>
      </c>
      <c r="B211" s="2156"/>
      <c r="C211" s="618"/>
      <c r="D211" s="618"/>
      <c r="E211" s="618"/>
      <c r="F211" s="618"/>
      <c r="G211" s="618"/>
      <c r="H211" s="618"/>
      <c r="I211" s="616"/>
      <c r="J211" s="616"/>
      <c r="K211" s="1684">
        <f>'Revenues 9-14'!F268-'Expenditures 15-22'!K210</f>
        <v>34830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708+141+566+22910+166+180+2991+1534+9987+471+224+14567</f>
        <v>54445</v>
      </c>
      <c r="E215" s="616"/>
      <c r="F215" s="616"/>
      <c r="G215" s="616"/>
      <c r="H215" s="616"/>
      <c r="I215" s="616"/>
      <c r="J215" s="616"/>
      <c r="K215" s="1671">
        <f>D215</f>
        <v>54445</v>
      </c>
      <c r="L215" s="466">
        <v>57002</v>
      </c>
    </row>
    <row r="216" spans="1:14" x14ac:dyDescent="0.2">
      <c r="A216" s="1504" t="s">
        <v>163</v>
      </c>
      <c r="B216" s="614" t="s">
        <v>967</v>
      </c>
      <c r="C216" s="616"/>
      <c r="D216" s="467">
        <f>3875+2020+1789</f>
        <v>7684</v>
      </c>
      <c r="E216" s="616"/>
      <c r="F216" s="616"/>
      <c r="G216" s="616"/>
      <c r="H216" s="616"/>
      <c r="I216" s="616"/>
      <c r="J216" s="616"/>
      <c r="K216" s="1671">
        <f t="shared" ref="K216:K228" si="19">D216</f>
        <v>7684</v>
      </c>
      <c r="L216" s="466">
        <v>12783</v>
      </c>
    </row>
    <row r="217" spans="1:14" x14ac:dyDescent="0.2">
      <c r="A217" s="1504" t="s">
        <v>164</v>
      </c>
      <c r="B217" s="614">
        <v>1200</v>
      </c>
      <c r="C217" s="616"/>
      <c r="D217" s="466">
        <f>10640+5562+400+1373+4016+1848</f>
        <v>23839</v>
      </c>
      <c r="E217" s="616"/>
      <c r="F217" s="616"/>
      <c r="G217" s="616"/>
      <c r="H217" s="616"/>
      <c r="I217" s="616"/>
      <c r="J217" s="616"/>
      <c r="K217" s="1671">
        <f t="shared" si="19"/>
        <v>23839</v>
      </c>
      <c r="L217" s="466">
        <v>23113</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10022+5242+1484</f>
        <v>16748</v>
      </c>
      <c r="E219" s="616"/>
      <c r="F219" s="616"/>
      <c r="G219" s="616"/>
      <c r="H219" s="616"/>
      <c r="I219" s="616"/>
      <c r="J219" s="616"/>
      <c r="K219" s="1671">
        <f t="shared" si="19"/>
        <v>16748</v>
      </c>
      <c r="L219" s="466">
        <v>19689</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f>352+266+3436</f>
        <v>4054</v>
      </c>
      <c r="E222" s="616"/>
      <c r="F222" s="616"/>
      <c r="G222" s="616"/>
      <c r="H222" s="616"/>
      <c r="I222" s="616"/>
      <c r="J222" s="616"/>
      <c r="K222" s="1671">
        <f t="shared" si="19"/>
        <v>4054</v>
      </c>
      <c r="L222" s="466">
        <v>4154</v>
      </c>
    </row>
    <row r="223" spans="1:14" x14ac:dyDescent="0.2">
      <c r="A223" s="1504" t="s">
        <v>963</v>
      </c>
      <c r="B223" s="614">
        <v>1500</v>
      </c>
      <c r="C223" s="616"/>
      <c r="D223" s="466">
        <f>933+1164+2281+41</f>
        <v>4419</v>
      </c>
      <c r="E223" s="616"/>
      <c r="F223" s="616"/>
      <c r="G223" s="616"/>
      <c r="H223" s="616"/>
      <c r="I223" s="616"/>
      <c r="J223" s="616"/>
      <c r="K223" s="1671">
        <f t="shared" si="19"/>
        <v>4419</v>
      </c>
      <c r="L223" s="466">
        <v>4103</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111189</v>
      </c>
      <c r="E229" s="616"/>
      <c r="F229" s="616"/>
      <c r="G229" s="616"/>
      <c r="H229" s="616"/>
      <c r="I229" s="616"/>
      <c r="J229" s="616"/>
      <c r="K229" s="1670">
        <f>SUM(K215:K228)</f>
        <v>111189</v>
      </c>
      <c r="L229" s="1670">
        <f>SUM(L215:L228)</f>
        <v>120844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f>173+339+338+765</f>
        <v>1615</v>
      </c>
      <c r="E233" s="616"/>
      <c r="F233" s="616"/>
      <c r="G233" s="616"/>
      <c r="H233" s="616"/>
      <c r="I233" s="616"/>
      <c r="J233" s="616"/>
      <c r="K233" s="1671">
        <f t="shared" si="20"/>
        <v>1615</v>
      </c>
      <c r="L233" s="466">
        <v>1785</v>
      </c>
    </row>
    <row r="234" spans="1:12" x14ac:dyDescent="0.2">
      <c r="A234" s="1504" t="s">
        <v>198</v>
      </c>
      <c r="B234" s="614">
        <v>2130</v>
      </c>
      <c r="C234" s="616"/>
      <c r="D234" s="466">
        <f>3216+1671+391</f>
        <v>5278</v>
      </c>
      <c r="E234" s="616"/>
      <c r="F234" s="616"/>
      <c r="G234" s="616"/>
      <c r="H234" s="616"/>
      <c r="I234" s="616"/>
      <c r="J234" s="616"/>
      <c r="K234" s="1671">
        <f t="shared" si="20"/>
        <v>5278</v>
      </c>
      <c r="L234" s="466">
        <v>6800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6893</v>
      </c>
      <c r="E238" s="616"/>
      <c r="F238" s="616"/>
      <c r="G238" s="616"/>
      <c r="H238" s="616"/>
      <c r="I238" s="616"/>
      <c r="J238" s="616"/>
      <c r="K238" s="1670">
        <f>SUM(K232:K237)</f>
        <v>6893</v>
      </c>
      <c r="L238" s="1670">
        <f>SUM(L232:L237)</f>
        <v>8585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41</v>
      </c>
      <c r="E240" s="616"/>
      <c r="F240" s="616"/>
      <c r="G240" s="616"/>
      <c r="H240" s="616"/>
      <c r="I240" s="616"/>
      <c r="J240" s="616"/>
      <c r="K240" s="1672">
        <f>D240</f>
        <v>41</v>
      </c>
      <c r="L240" s="481"/>
    </row>
    <row r="241" spans="1:12" x14ac:dyDescent="0.2">
      <c r="A241" s="1504" t="s">
        <v>815</v>
      </c>
      <c r="B241" s="614">
        <v>2220</v>
      </c>
      <c r="C241" s="616"/>
      <c r="D241" s="466">
        <f>1683+75+862+36+201+8</f>
        <v>2865</v>
      </c>
      <c r="E241" s="616"/>
      <c r="F241" s="616"/>
      <c r="G241" s="616"/>
      <c r="H241" s="616"/>
      <c r="I241" s="616"/>
      <c r="J241" s="616"/>
      <c r="K241" s="1672">
        <f>D241</f>
        <v>2865</v>
      </c>
      <c r="L241" s="466">
        <v>2951</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2906</v>
      </c>
      <c r="E243" s="616"/>
      <c r="F243" s="616"/>
      <c r="G243" s="616"/>
      <c r="H243" s="616"/>
      <c r="I243" s="616"/>
      <c r="J243" s="616"/>
      <c r="K243" s="1670">
        <f>SUM(K240:K242)</f>
        <v>2906</v>
      </c>
      <c r="L243" s="1670">
        <f>SUM(L240:L242)</f>
        <v>2951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201+130+31</f>
        <v>362</v>
      </c>
      <c r="E245" s="616"/>
      <c r="F245" s="616"/>
      <c r="G245" s="616"/>
      <c r="H245" s="616"/>
      <c r="I245" s="616"/>
      <c r="J245" s="616"/>
      <c r="K245" s="1672">
        <f>D245</f>
        <v>362</v>
      </c>
      <c r="L245" s="481">
        <v>2250</v>
      </c>
    </row>
    <row r="246" spans="1:12" x14ac:dyDescent="0.2">
      <c r="A246" s="1504" t="s">
        <v>818</v>
      </c>
      <c r="B246" s="614">
        <v>2320</v>
      </c>
      <c r="C246" s="616"/>
      <c r="D246" s="466">
        <f>2283+1145+2187</f>
        <v>5615</v>
      </c>
      <c r="E246" s="616"/>
      <c r="F246" s="616"/>
      <c r="G246" s="616"/>
      <c r="H246" s="616"/>
      <c r="I246" s="616"/>
      <c r="J246" s="616"/>
      <c r="K246" s="1672">
        <f t="shared" ref="K246:K256" si="21">D246</f>
        <v>5615</v>
      </c>
      <c r="L246" s="466">
        <v>8840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f>199+110+26</f>
        <v>335</v>
      </c>
      <c r="E252" s="616"/>
      <c r="F252" s="616"/>
      <c r="G252" s="616"/>
      <c r="H252" s="616"/>
      <c r="I252" s="616"/>
      <c r="J252" s="616"/>
      <c r="K252" s="1672">
        <f t="shared" si="21"/>
        <v>335</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6312</v>
      </c>
      <c r="E257" s="616"/>
      <c r="F257" s="616"/>
      <c r="G257" s="616"/>
      <c r="H257" s="616"/>
      <c r="I257" s="616"/>
      <c r="J257" s="616"/>
      <c r="K257" s="1670">
        <f>SUM(K245:K256)</f>
        <v>6312</v>
      </c>
      <c r="L257" s="1670">
        <f>SUM(L245:L256)</f>
        <v>11090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11756+5978+5204</f>
        <v>22938</v>
      </c>
      <c r="E259" s="616"/>
      <c r="F259" s="616"/>
      <c r="G259" s="616"/>
      <c r="H259" s="616"/>
      <c r="I259" s="616"/>
      <c r="J259" s="616"/>
      <c r="K259" s="1672">
        <f>D259</f>
        <v>22938</v>
      </c>
      <c r="L259" s="481">
        <v>23378</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22938</v>
      </c>
      <c r="E261" s="616"/>
      <c r="F261" s="616"/>
      <c r="G261" s="616"/>
      <c r="H261" s="616"/>
      <c r="I261" s="616"/>
      <c r="J261" s="616"/>
      <c r="K261" s="1670">
        <f>SUM(K259:K260)</f>
        <v>22938</v>
      </c>
      <c r="L261" s="1670">
        <f>SUM(L259:L260)</f>
        <v>23378</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25317+684+5271+352+1233+82</f>
        <v>32939</v>
      </c>
      <c r="E264" s="616"/>
      <c r="F264" s="616"/>
      <c r="G264" s="616"/>
      <c r="H264" s="616"/>
      <c r="I264" s="616"/>
      <c r="J264" s="616"/>
      <c r="K264" s="1672">
        <f t="shared" ref="K264:K269" si="22">D264</f>
        <v>32939</v>
      </c>
      <c r="L264" s="466">
        <v>17455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33047+18714+4377</f>
        <v>56138</v>
      </c>
      <c r="E266" s="616"/>
      <c r="F266" s="616"/>
      <c r="G266" s="616"/>
      <c r="H266" s="616"/>
      <c r="I266" s="616"/>
      <c r="J266" s="616"/>
      <c r="K266" s="1672">
        <f t="shared" si="22"/>
        <v>56138</v>
      </c>
      <c r="L266" s="466">
        <v>62122</v>
      </c>
    </row>
    <row r="267" spans="1:14" x14ac:dyDescent="0.2">
      <c r="A267" s="1504" t="s">
        <v>953</v>
      </c>
      <c r="B267" s="614">
        <v>2550</v>
      </c>
      <c r="C267" s="616"/>
      <c r="D267" s="466">
        <f>3597+100+6674+151+1561+35+1023+1476+345+8157+4239+991+4350+2411+564</f>
        <v>35674</v>
      </c>
      <c r="E267" s="616"/>
      <c r="F267" s="616"/>
      <c r="G267" s="616"/>
      <c r="H267" s="616"/>
      <c r="I267" s="616"/>
      <c r="J267" s="616"/>
      <c r="K267" s="1672">
        <f t="shared" si="22"/>
        <v>35674</v>
      </c>
      <c r="L267" s="466">
        <v>37705</v>
      </c>
    </row>
    <row r="268" spans="1:14" x14ac:dyDescent="0.2">
      <c r="A268" s="1504" t="s">
        <v>100</v>
      </c>
      <c r="B268" s="614">
        <v>2560</v>
      </c>
      <c r="C268" s="616"/>
      <c r="D268" s="466">
        <f>7253+4600+1076</f>
        <v>12929</v>
      </c>
      <c r="E268" s="616"/>
      <c r="F268" s="616"/>
      <c r="G268" s="616"/>
      <c r="H268" s="616"/>
      <c r="I268" s="616"/>
      <c r="J268" s="616"/>
      <c r="K268" s="1672">
        <f t="shared" si="22"/>
        <v>12929</v>
      </c>
      <c r="L268" s="466">
        <v>27992</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137680</v>
      </c>
      <c r="E270" s="616"/>
      <c r="F270" s="616"/>
      <c r="G270" s="616"/>
      <c r="H270" s="616"/>
      <c r="I270" s="616"/>
      <c r="J270" s="616"/>
      <c r="K270" s="1670">
        <f>SUM(K263:K269)</f>
        <v>137680</v>
      </c>
      <c r="L270" s="1670">
        <f>SUM(L263:L269)</f>
        <v>145274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f>10142+5179+1211</f>
        <v>16532</v>
      </c>
      <c r="E276" s="616"/>
      <c r="F276" s="616"/>
      <c r="G276" s="616"/>
      <c r="H276" s="616"/>
      <c r="I276" s="616"/>
      <c r="J276" s="616"/>
      <c r="K276" s="1672">
        <f>D276</f>
        <v>16532</v>
      </c>
      <c r="L276" s="466"/>
    </row>
    <row r="277" spans="1:12" ht="12.75" customHeight="1" thickBot="1" x14ac:dyDescent="0.25">
      <c r="A277" s="1691" t="s">
        <v>37</v>
      </c>
      <c r="B277" s="1669" t="s">
        <v>36</v>
      </c>
      <c r="C277" s="616"/>
      <c r="D277" s="1670">
        <f>SUM(D272:D276)</f>
        <v>16532</v>
      </c>
      <c r="E277" s="616"/>
      <c r="F277" s="616"/>
      <c r="G277" s="616"/>
      <c r="H277" s="616"/>
      <c r="I277" s="616"/>
      <c r="J277" s="616"/>
      <c r="K277" s="1670">
        <f>SUM(K272:K276)</f>
        <v>16532</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193261</v>
      </c>
      <c r="E279" s="616"/>
      <c r="F279" s="616"/>
      <c r="G279" s="616"/>
      <c r="H279" s="616"/>
      <c r="I279" s="616"/>
      <c r="J279" s="616"/>
      <c r="K279" s="1677">
        <f>SUM(K238,K243,K257,K261,K270,K277,K278)</f>
        <v>193261</v>
      </c>
      <c r="L279" s="1677">
        <f>SUM(L238,L243,L257,L261,L270,L277,L278)</f>
        <v>191278</v>
      </c>
    </row>
    <row r="280" spans="1:12" ht="15.75" customHeight="1" thickTop="1" thickBot="1" x14ac:dyDescent="0.25">
      <c r="A280" s="1624" t="s">
        <v>875</v>
      </c>
      <c r="B280" s="1613">
        <v>3000</v>
      </c>
      <c r="C280" s="616"/>
      <c r="D280" s="576">
        <f>29+2511+1310+306</f>
        <v>4156</v>
      </c>
      <c r="E280" s="616"/>
      <c r="F280" s="616"/>
      <c r="G280" s="616"/>
      <c r="H280" s="616"/>
      <c r="I280" s="616"/>
      <c r="J280" s="616"/>
      <c r="K280" s="1679">
        <f>D280</f>
        <v>4156</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308606</v>
      </c>
      <c r="E295" s="616"/>
      <c r="F295" s="616"/>
      <c r="G295" s="616"/>
      <c r="H295" s="1670">
        <f>H293</f>
        <v>0</v>
      </c>
      <c r="I295" s="616"/>
      <c r="J295" s="616"/>
      <c r="K295" s="1670">
        <f>SUM(K229,K279,K280,K285,K293,K294)</f>
        <v>308606</v>
      </c>
      <c r="L295" s="1670">
        <f>SUM(L229,L279,L280,L285,L293,L294)</f>
        <v>312122</v>
      </c>
    </row>
    <row r="296" spans="1:14" ht="13.5" thickTop="1" x14ac:dyDescent="0.2">
      <c r="A296" s="2155" t="s">
        <v>996</v>
      </c>
      <c r="B296" s="2156"/>
      <c r="C296" s="616"/>
      <c r="D296" s="618"/>
      <c r="E296" s="616"/>
      <c r="F296" s="616"/>
      <c r="G296" s="616"/>
      <c r="H296" s="687"/>
      <c r="I296" s="616"/>
      <c r="J296" s="616"/>
      <c r="K296" s="1684">
        <f>'Revenues 9-14'!G268-'Expenditures 15-22'!K295</f>
        <v>-160408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20000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20000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20000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48058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v>59396</v>
      </c>
      <c r="M320" s="665"/>
      <c r="N320" s="665"/>
    </row>
    <row r="321" spans="1:14" s="674" customFormat="1" x14ac:dyDescent="0.2">
      <c r="A321" s="1519" t="s">
        <v>300</v>
      </c>
      <c r="B321" s="697" t="s">
        <v>283</v>
      </c>
      <c r="C321" s="467"/>
      <c r="D321" s="467"/>
      <c r="E321" s="467">
        <f>960+64848</f>
        <v>65808</v>
      </c>
      <c r="F321" s="467"/>
      <c r="G321" s="467"/>
      <c r="H321" s="467"/>
      <c r="I321" s="467"/>
      <c r="J321" s="467"/>
      <c r="K321" s="1671">
        <f t="shared" si="24"/>
        <v>65808</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v>1954</v>
      </c>
      <c r="D323" s="467">
        <v>288</v>
      </c>
      <c r="E323" s="467">
        <v>10000</v>
      </c>
      <c r="F323" s="467"/>
      <c r="G323" s="467"/>
      <c r="H323" s="467"/>
      <c r="I323" s="467"/>
      <c r="J323" s="467"/>
      <c r="K323" s="1671">
        <f t="shared" si="24"/>
        <v>12242</v>
      </c>
      <c r="L323" s="467">
        <v>18250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20000</v>
      </c>
      <c r="M327" s="665"/>
      <c r="N327" s="665"/>
    </row>
    <row r="328" spans="1:14" s="674" customFormat="1" x14ac:dyDescent="0.2">
      <c r="A328" s="1520" t="s">
        <v>472</v>
      </c>
      <c r="B328" s="690" t="s">
        <v>1132</v>
      </c>
      <c r="C328" s="474"/>
      <c r="D328" s="474"/>
      <c r="E328" s="474">
        <v>94255</v>
      </c>
      <c r="F328" s="474"/>
      <c r="G328" s="474"/>
      <c r="H328" s="474"/>
      <c r="I328" s="474"/>
      <c r="J328" s="474"/>
      <c r="K328" s="1699">
        <f>SUM(C328:J328)</f>
        <v>94255</v>
      </c>
      <c r="L328" s="474">
        <v>101252</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1954</v>
      </c>
      <c r="D330" s="1670">
        <f t="shared" ref="D330:J330" si="25">SUM(D319:D329)</f>
        <v>288</v>
      </c>
      <c r="E330" s="1670">
        <f t="shared" si="25"/>
        <v>170063</v>
      </c>
      <c r="F330" s="1670">
        <f t="shared" si="25"/>
        <v>0</v>
      </c>
      <c r="G330" s="1670">
        <f t="shared" si="25"/>
        <v>0</v>
      </c>
      <c r="H330" s="1670">
        <f t="shared" si="25"/>
        <v>0</v>
      </c>
      <c r="I330" s="1670">
        <f t="shared" si="25"/>
        <v>0</v>
      </c>
      <c r="J330" s="1670">
        <f t="shared" si="25"/>
        <v>0</v>
      </c>
      <c r="K330" s="1670">
        <f>SUM(K319:K329)</f>
        <v>172305</v>
      </c>
      <c r="L330" s="1670">
        <f>SUM(L319:L329)</f>
        <v>198898</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1954</v>
      </c>
      <c r="D342" s="1670">
        <f>SUM(D330)</f>
        <v>288</v>
      </c>
      <c r="E342" s="1670">
        <f>SUM(E330)</f>
        <v>170063</v>
      </c>
      <c r="F342" s="1670">
        <f>SUM(F330)</f>
        <v>0</v>
      </c>
      <c r="G342" s="1670">
        <f>SUM(G330)</f>
        <v>0</v>
      </c>
      <c r="H342" s="1670">
        <f>SUM(H330,H334,H340)</f>
        <v>0</v>
      </c>
      <c r="I342" s="1670">
        <f>SUM(I330)</f>
        <v>0</v>
      </c>
      <c r="J342" s="1670">
        <f>SUM(J330)</f>
        <v>0</v>
      </c>
      <c r="K342" s="1670">
        <f>SUM(K330,K334,K340)</f>
        <v>172305</v>
      </c>
      <c r="L342" s="1677">
        <f>SUM(L330,L340,L341)</f>
        <v>198898</v>
      </c>
    </row>
    <row r="343" spans="1:14" ht="12.75" customHeight="1" thickTop="1" x14ac:dyDescent="0.2">
      <c r="A343" s="2168" t="s">
        <v>996</v>
      </c>
      <c r="B343" s="2169"/>
      <c r="C343" s="616"/>
      <c r="D343" s="616"/>
      <c r="E343" s="616"/>
      <c r="F343" s="616"/>
      <c r="G343" s="616"/>
      <c r="H343" s="616"/>
      <c r="I343" s="616"/>
      <c r="J343" s="616"/>
      <c r="K343" s="1684">
        <f>'Revenues 9-14'!J268-'Expenditures 15-22'!K342</f>
        <v>48613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20000</v>
      </c>
    </row>
    <row r="349" spans="1:14" x14ac:dyDescent="0.2">
      <c r="A349" s="1504" t="s">
        <v>197</v>
      </c>
      <c r="B349" s="614">
        <v>2540</v>
      </c>
      <c r="C349" s="466"/>
      <c r="D349" s="466"/>
      <c r="E349" s="466">
        <v>2826</v>
      </c>
      <c r="F349" s="466">
        <v>210</v>
      </c>
      <c r="G349" s="466">
        <v>2485</v>
      </c>
      <c r="H349" s="466"/>
      <c r="I349" s="467"/>
      <c r="J349" s="467"/>
      <c r="K349" s="1671">
        <f>SUM(C349:J349)</f>
        <v>5521</v>
      </c>
      <c r="L349" s="466">
        <v>65000</v>
      </c>
    </row>
    <row r="350" spans="1:14" ht="12.75" customHeight="1" thickBot="1" x14ac:dyDescent="0.25">
      <c r="A350" s="1668" t="s">
        <v>719</v>
      </c>
      <c r="B350" s="1669" t="s">
        <v>35</v>
      </c>
      <c r="C350" s="1670">
        <f>SUM(C348:C349)</f>
        <v>0</v>
      </c>
      <c r="D350" s="1670">
        <f t="shared" ref="D350:L350" si="26">SUM(D348:D349)</f>
        <v>0</v>
      </c>
      <c r="E350" s="1670">
        <f t="shared" si="26"/>
        <v>2826</v>
      </c>
      <c r="F350" s="1670">
        <f t="shared" si="26"/>
        <v>210</v>
      </c>
      <c r="G350" s="1670">
        <f t="shared" si="26"/>
        <v>2485</v>
      </c>
      <c r="H350" s="1670">
        <f t="shared" si="26"/>
        <v>0</v>
      </c>
      <c r="I350" s="1670">
        <f t="shared" si="26"/>
        <v>0</v>
      </c>
      <c r="J350" s="1670">
        <f t="shared" si="26"/>
        <v>0</v>
      </c>
      <c r="K350" s="1670">
        <f t="shared" si="26"/>
        <v>5521</v>
      </c>
      <c r="L350" s="1670">
        <f t="shared" si="26"/>
        <v>85000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2826</v>
      </c>
      <c r="F352" s="1670">
        <f t="shared" si="27"/>
        <v>210</v>
      </c>
      <c r="G352" s="1670">
        <f t="shared" si="27"/>
        <v>2485</v>
      </c>
      <c r="H352" s="1670">
        <f t="shared" si="27"/>
        <v>0</v>
      </c>
      <c r="I352" s="1670">
        <f t="shared" si="27"/>
        <v>0</v>
      </c>
      <c r="J352" s="1670">
        <f t="shared" si="27"/>
        <v>0</v>
      </c>
      <c r="K352" s="1670">
        <f t="shared" si="27"/>
        <v>5521</v>
      </c>
      <c r="L352" s="1670">
        <f t="shared" si="27"/>
        <v>85000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2826</v>
      </c>
      <c r="F367" s="1670">
        <f t="shared" si="28"/>
        <v>210</v>
      </c>
      <c r="G367" s="1670">
        <f t="shared" si="28"/>
        <v>2485</v>
      </c>
      <c r="H367" s="1670">
        <f t="shared" si="28"/>
        <v>0</v>
      </c>
      <c r="I367" s="1670">
        <f t="shared" si="28"/>
        <v>0</v>
      </c>
      <c r="J367" s="1670">
        <f t="shared" si="28"/>
        <v>0</v>
      </c>
      <c r="K367" s="1670">
        <f t="shared" si="28"/>
        <v>5521</v>
      </c>
      <c r="L367" s="1670">
        <f t="shared" si="28"/>
        <v>85000</v>
      </c>
    </row>
    <row r="368" spans="1:14" ht="13.5" thickTop="1" x14ac:dyDescent="0.2">
      <c r="A368" s="2155" t="s">
        <v>996</v>
      </c>
      <c r="B368" s="2156"/>
      <c r="C368" s="654"/>
      <c r="D368" s="654"/>
      <c r="E368" s="626"/>
      <c r="F368" s="626"/>
      <c r="G368" s="626"/>
      <c r="H368" s="626"/>
      <c r="I368" s="626"/>
      <c r="J368" s="623"/>
      <c r="K368" s="1671">
        <f>'Revenues 9-14'!K268-'Expenditures 15-22'!K367</f>
        <v>46080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sharepoint/v3"/>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6ce3111e-7420-4802-b50a-75d4e9a0b980"/>
    <ds:schemaRef ds:uri="http://purl.org/dc/dcmitype/"/>
    <ds:schemaRef ds:uri="4d435f69-8686-490b-bd6d-b153bf22ab50"/>
    <ds:schemaRef ds:uri="d21dc803-237d-4c68-8692-8d731fd29118"/>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Aud Quest 2</vt:lpstr>
      <vt:lpstr>TOC</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2019-09-18T12:12:13Z</cp:lastPrinted>
  <dcterms:created xsi:type="dcterms:W3CDTF">2003-10-29T19:06:34Z</dcterms:created>
  <dcterms:modified xsi:type="dcterms:W3CDTF">2019-11-25T14:52:56Z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