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8B19A15-914E-4F02-ABDF-703DF8768002}" xr6:coauthVersionLast="36" xr6:coauthVersionMax="36" xr10:uidLastSave="{00000000-0000-0000-0000-000000000000}"/>
  <bookViews>
    <workbookView xWindow="-120" yWindow="-120" windowWidth="29040" windowHeight="15840" tabRatio="90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6" r:id="rId31"/>
    <sheet name=" SEFA (5)" sheetId="185"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4" i="173" l="1"/>
  <c r="C33" i="173"/>
  <c r="M27" i="186" l="1"/>
  <c r="M17" i="185" s="1"/>
  <c r="K27" i="186"/>
  <c r="K17" i="185" s="1"/>
  <c r="J27" i="186"/>
  <c r="J17" i="185" s="1"/>
  <c r="I27" i="186"/>
  <c r="I17" i="185" s="1"/>
  <c r="H27" i="186"/>
  <c r="H17" i="185" s="1"/>
  <c r="G27" i="186"/>
  <c r="G17" i="185" s="1"/>
  <c r="F27" i="186"/>
  <c r="F17" i="185" s="1"/>
  <c r="E27" i="186"/>
  <c r="E17" i="185" s="1"/>
  <c r="M15" i="185" l="1"/>
  <c r="F15" i="185"/>
  <c r="L26" i="186"/>
  <c r="L25" i="186"/>
  <c r="L24" i="186"/>
  <c r="L23" i="186"/>
  <c r="L22" i="186"/>
  <c r="L21" i="186"/>
  <c r="L19" i="186"/>
  <c r="L18" i="186"/>
  <c r="L17" i="186"/>
  <c r="L16" i="186"/>
  <c r="L15" i="186"/>
  <c r="L14" i="186"/>
  <c r="L13" i="186"/>
  <c r="L12" i="186"/>
  <c r="L11" i="186"/>
  <c r="B4" i="186"/>
  <c r="M27" i="184"/>
  <c r="K27" i="184"/>
  <c r="K15" i="185" s="1"/>
  <c r="J27" i="184"/>
  <c r="J15" i="185" s="1"/>
  <c r="I27" i="184"/>
  <c r="I15" i="185" s="1"/>
  <c r="H27" i="184"/>
  <c r="H15" i="185" s="1"/>
  <c r="G27" i="184"/>
  <c r="G15" i="185" s="1"/>
  <c r="F27" i="184"/>
  <c r="E27" i="184"/>
  <c r="E15" i="185" s="1"/>
  <c r="M27" i="183"/>
  <c r="K27" i="183"/>
  <c r="J27" i="183"/>
  <c r="I27" i="183"/>
  <c r="H27" i="183"/>
  <c r="G27" i="183"/>
  <c r="F27" i="183"/>
  <c r="E27" i="183"/>
  <c r="K27" i="179"/>
  <c r="K13" i="185" s="1"/>
  <c r="K27" i="185" s="1"/>
  <c r="M20" i="179"/>
  <c r="M27" i="179" s="1"/>
  <c r="M13" i="185" s="1"/>
  <c r="M27" i="185" s="1"/>
  <c r="K20" i="179"/>
  <c r="J20" i="179"/>
  <c r="J27" i="179" s="1"/>
  <c r="J13" i="185" s="1"/>
  <c r="J27" i="185" s="1"/>
  <c r="I20" i="179"/>
  <c r="I27" i="179" s="1"/>
  <c r="I13" i="185" s="1"/>
  <c r="H20" i="179"/>
  <c r="H27" i="179" s="1"/>
  <c r="H13" i="185" s="1"/>
  <c r="H27" i="185" s="1"/>
  <c r="G20" i="179"/>
  <c r="G27" i="179" s="1"/>
  <c r="G13" i="185" s="1"/>
  <c r="F20" i="179"/>
  <c r="F27" i="179" s="1"/>
  <c r="F13" i="185" s="1"/>
  <c r="F27" i="185" s="1"/>
  <c r="D35" i="171" s="1"/>
  <c r="E20" i="179"/>
  <c r="E27" i="179" s="1"/>
  <c r="E13" i="185" s="1"/>
  <c r="G27" i="185" l="1"/>
  <c r="I27" i="185"/>
  <c r="D45" i="174" s="1"/>
  <c r="E27" i="185"/>
  <c r="L27" i="186"/>
  <c r="L20" i="186"/>
  <c r="L27" i="185" l="1"/>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E10" i="108" l="1"/>
  <c r="D8" i="11" l="1"/>
  <c r="J31" i="8"/>
  <c r="K65" i="5"/>
  <c r="E325" i="29"/>
  <c r="D215" i="29"/>
  <c r="D259" i="29"/>
  <c r="D241" i="29"/>
  <c r="D234" i="29"/>
  <c r="D233" i="29"/>
  <c r="D223" i="29"/>
  <c r="D217" i="29"/>
  <c r="D232" i="29"/>
  <c r="D219" i="29"/>
  <c r="D237" i="29"/>
  <c r="D268" i="29"/>
  <c r="D267" i="29"/>
  <c r="D266" i="29"/>
  <c r="D264" i="29"/>
  <c r="D246" i="29"/>
  <c r="D245" i="29"/>
  <c r="D240" i="29"/>
  <c r="D280" i="29"/>
  <c r="D247" i="29"/>
  <c r="D228" i="29"/>
  <c r="D220" i="29"/>
  <c r="F65" i="5"/>
  <c r="C182" i="29"/>
  <c r="F182" i="29"/>
  <c r="E182" i="29"/>
  <c r="D182" i="29"/>
  <c r="H170" i="29"/>
  <c r="H169" i="29"/>
  <c r="C124" i="29"/>
  <c r="G124" i="29"/>
  <c r="E124" i="29"/>
  <c r="F124" i="29"/>
  <c r="C65" i="5"/>
  <c r="E5" i="29"/>
  <c r="D55" i="29"/>
  <c r="C55" i="29"/>
  <c r="F45" i="29"/>
  <c r="C45" i="29"/>
  <c r="D38" i="29"/>
  <c r="C38" i="29"/>
  <c r="D37" i="29"/>
  <c r="C37" i="29"/>
  <c r="D17" i="29"/>
  <c r="C17" i="29"/>
  <c r="F14" i="29"/>
  <c r="H14" i="29"/>
  <c r="E14" i="29"/>
  <c r="D14" i="29"/>
  <c r="C14" i="29"/>
  <c r="F13" i="29"/>
  <c r="D13" i="29"/>
  <c r="C13" i="29"/>
  <c r="D8" i="29"/>
  <c r="C8" i="29"/>
  <c r="H5" i="29"/>
  <c r="F5" i="29"/>
  <c r="D5" i="29"/>
  <c r="C5" i="29"/>
  <c r="E55" i="29"/>
  <c r="D45" i="29"/>
  <c r="E38" i="29"/>
  <c r="D36" i="29"/>
  <c r="C36" i="29"/>
  <c r="D10" i="29"/>
  <c r="C10" i="29"/>
  <c r="C41" i="29"/>
  <c r="G63" i="29"/>
  <c r="F63" i="29"/>
  <c r="E63" i="29"/>
  <c r="C63" i="29"/>
  <c r="E60" i="29"/>
  <c r="C60" i="29"/>
  <c r="E50" i="29"/>
  <c r="D50" i="29"/>
  <c r="C50" i="29"/>
  <c r="F49" i="29"/>
  <c r="E49" i="29"/>
  <c r="G45" i="29"/>
  <c r="E45" i="29"/>
  <c r="D44" i="29"/>
  <c r="C44" i="29"/>
  <c r="F37" i="29"/>
  <c r="F75" i="29"/>
  <c r="D75" i="29"/>
  <c r="C75" i="29"/>
  <c r="C51" i="29"/>
  <c r="E44" i="29"/>
  <c r="C19" i="29"/>
  <c r="F11" i="29"/>
  <c r="D11" i="29"/>
  <c r="C11" i="29"/>
  <c r="C79" i="5"/>
  <c r="C72" i="5"/>
  <c r="C81" i="5"/>
  <c r="C74" i="5"/>
  <c r="C259" i="5"/>
  <c r="C219" i="5"/>
  <c r="C206" i="5"/>
  <c r="C200" i="5"/>
  <c r="C168" i="5"/>
  <c r="C159" i="5"/>
  <c r="C158" i="5"/>
  <c r="C137" i="5"/>
  <c r="M19" i="3"/>
  <c r="M17" i="3"/>
  <c r="L4" i="3"/>
  <c r="K4" i="3"/>
  <c r="J4" i="3"/>
  <c r="I5" i="3"/>
  <c r="I4" i="3"/>
  <c r="H4" i="3"/>
  <c r="F4" i="3"/>
  <c r="D4" i="3"/>
  <c r="C31" i="3"/>
  <c r="C27"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4"/>
  <c r="B1" i="183"/>
  <c r="B2" i="179"/>
  <c r="B2" i="186"/>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C252" i="5"/>
  <c r="B7761" i="106"/>
  <c r="D7761" i="106" s="1"/>
  <c r="L127" i="29"/>
  <c r="L129" i="29" s="1"/>
  <c r="L139" i="29"/>
  <c r="L149" i="29"/>
  <c r="I7" i="145"/>
  <c r="I6" i="145"/>
  <c r="D78" i="36"/>
  <c r="K75" i="29"/>
  <c r="C14" i="4" s="1"/>
  <c r="B2558" i="106" s="1"/>
  <c r="D2558" i="106" s="1"/>
  <c r="K130" i="29"/>
  <c r="K185" i="29"/>
  <c r="K122" i="29"/>
  <c r="F15" i="145" s="1"/>
  <c r="F19" i="145" s="1"/>
  <c r="K67" i="29"/>
  <c r="G33" i="108" s="1"/>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B2978" i="106" s="1"/>
  <c r="D2978" i="106" s="1"/>
  <c r="K93" i="29"/>
  <c r="K94" i="29"/>
  <c r="B6999" i="106" s="1"/>
  <c r="D6999" i="106" s="1"/>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J210" i="29"/>
  <c r="B7072" i="106" s="1"/>
  <c r="D7072"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6" i="108"/>
  <c r="F26" i="108"/>
  <c r="G26" i="108"/>
  <c r="D27" i="108"/>
  <c r="E27" i="108"/>
  <c r="F27" i="108"/>
  <c r="G27" i="108"/>
  <c r="F36" i="108"/>
  <c r="G28"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D24" i="37"/>
  <c r="B4270" i="106" s="1"/>
  <c r="D4270" i="106" s="1"/>
  <c r="L5" i="11"/>
  <c r="B2056" i="106" s="1"/>
  <c r="D2056" i="106" s="1"/>
  <c r="H342" i="29" l="1"/>
  <c r="H76" i="4"/>
  <c r="B3298" i="106" s="1"/>
  <c r="D3298" i="106" s="1"/>
  <c r="H33" i="118"/>
  <c r="G38" i="108"/>
  <c r="D68" i="36"/>
  <c r="J352" i="29"/>
  <c r="I210" i="29"/>
  <c r="B7071" i="106" s="1"/>
  <c r="D7071" i="106" s="1"/>
  <c r="I129" i="29"/>
  <c r="B7037" i="106" s="1"/>
  <c r="D7037" i="106" s="1"/>
  <c r="F50" i="34"/>
  <c r="E38" i="108"/>
  <c r="D36" i="108"/>
  <c r="B7076" i="106"/>
  <c r="D7076" i="106" s="1"/>
  <c r="H28" i="118"/>
  <c r="D31" i="108"/>
  <c r="L15" i="11"/>
  <c r="B3459" i="106" s="1"/>
  <c r="D3459" i="106" s="1"/>
  <c r="F44" i="34"/>
  <c r="F72" i="34"/>
  <c r="G14" i="4"/>
  <c r="B2609" i="106" s="1"/>
  <c r="D2609" i="106" s="1"/>
  <c r="K184" i="29"/>
  <c r="F13" i="4" s="1"/>
  <c r="B2596" i="106" s="1"/>
  <c r="D2596" i="106" s="1"/>
  <c r="G30" i="108"/>
  <c r="G39" i="108"/>
  <c r="E30" i="108"/>
  <c r="F28" i="108"/>
  <c r="D54" i="36"/>
  <c r="D11" i="37"/>
  <c r="F14" i="4"/>
  <c r="B2597" i="106" s="1"/>
  <c r="D2597" i="106" s="1"/>
  <c r="F37" i="108"/>
  <c r="E28" i="108"/>
  <c r="D31" i="36"/>
  <c r="B4087" i="106"/>
  <c r="D4087" i="106" s="1"/>
  <c r="K41" i="3"/>
  <c r="C129" i="29"/>
  <c r="C151" i="29" s="1"/>
  <c r="B1226" i="106" s="1"/>
  <c r="D1226" i="106" s="1"/>
  <c r="D17" i="7"/>
  <c r="B4104" i="106" s="1"/>
  <c r="D4104" i="106" s="1"/>
  <c r="D37" i="108"/>
  <c r="D26" i="108"/>
  <c r="D41" i="108" s="1"/>
  <c r="E43" i="108" s="1"/>
  <c r="L22" i="37"/>
  <c r="L367" i="29"/>
  <c r="F19" i="7"/>
  <c r="B1807" i="106" s="1"/>
  <c r="D1807" i="106" s="1"/>
  <c r="F65" i="34"/>
  <c r="G29" i="108"/>
  <c r="B7047" i="106"/>
  <c r="D7047" i="106" s="1"/>
  <c r="D6103" i="106"/>
  <c r="B3647" i="106"/>
  <c r="D3647" i="106" s="1"/>
  <c r="C352" i="29"/>
  <c r="K76" i="4"/>
  <c r="B3586" i="106" s="1"/>
  <c r="D3586" i="106" s="1"/>
  <c r="L13" i="11"/>
  <c r="B2060" i="106" s="1"/>
  <c r="D2060" i="106" s="1"/>
  <c r="B1308" i="106"/>
  <c r="D1308" i="106" s="1"/>
  <c r="E174" i="29"/>
  <c r="B1309" i="106" s="1"/>
  <c r="D1309" i="106" s="1"/>
  <c r="B1126" i="106"/>
  <c r="D1126" i="106" s="1"/>
  <c r="D9" i="7"/>
  <c r="B1767" i="106" s="1"/>
  <c r="D1767" i="106" s="1"/>
  <c r="H29" i="118"/>
  <c r="K28" i="118" s="1"/>
  <c r="O27" i="118" s="1"/>
  <c r="O29" i="118" s="1"/>
  <c r="N22" i="3"/>
  <c r="B283" i="106" s="1"/>
  <c r="D283" i="106" s="1"/>
  <c r="L342" i="29"/>
  <c r="F49" i="34"/>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14" i="29" l="1"/>
  <c r="J367" i="29"/>
  <c r="B7245" i="106" s="1"/>
  <c r="D7245" i="106" s="1"/>
  <c r="B7235" i="106"/>
  <c r="D7235" i="106" s="1"/>
  <c r="D7252" i="106"/>
  <c r="D7251" i="106"/>
  <c r="B1317" i="106"/>
  <c r="D1317" i="106" s="1"/>
  <c r="F41" i="108"/>
  <c r="G43" i="108" s="1"/>
  <c r="C114" i="29"/>
  <c r="B757" i="106" s="1"/>
  <c r="D757" i="106" s="1"/>
  <c r="N23" i="3"/>
  <c r="B284" i="106" s="1"/>
  <c r="D284" i="106" s="1"/>
  <c r="L16" i="11"/>
  <c r="B2061" i="106" s="1"/>
  <c r="D2061" i="106" s="1"/>
  <c r="G170" i="5"/>
  <c r="B3568" i="106"/>
  <c r="D3568" i="106" s="1"/>
  <c r="D52" i="36"/>
  <c r="B1996" i="106"/>
  <c r="D1996" i="106" s="1"/>
  <c r="I26" i="12"/>
  <c r="B7741" i="106" s="1"/>
  <c r="D7741" i="106" s="1"/>
  <c r="B5527" i="106"/>
  <c r="D5527" i="106" s="1"/>
  <c r="D44" i="36"/>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5778" i="106"/>
  <c r="D5778" i="106" s="1"/>
  <c r="G6" i="4"/>
  <c r="B2604" i="106" s="1"/>
  <c r="D260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K20" i="4" s="1"/>
  <c r="J20" i="4"/>
  <c r="B6230" i="106" s="1"/>
  <c r="D6230" i="106" s="1"/>
  <c r="B6223" i="106"/>
  <c r="D6223" i="106" s="1"/>
  <c r="D8" i="146"/>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<sst xmlns="http://schemas.openxmlformats.org/spreadsheetml/2006/main" count="5372" uniqueCount="2163">
  <si>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</si>
  <si>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</si>
  <si>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</si>
  <si>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</si>
  <si>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</si>
  <si>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</si>
  <si>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</si>
  <si>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</si>
  <si>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</si>
  <si>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</si>
  <si>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</si>
  <si>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</si>
  <si>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</si>
  <si>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</si>
  <si>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</si>
  <si>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</si>
  <si>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</si>
  <si>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</si>
  <si>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</si>
  <si>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</si>
  <si>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</si>
  <si>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</si>
  <si>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</si>
  <si>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</si>
  <si>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</si>
  <si>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</si>
  <si>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</si>
  <si>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</si>
  <si>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</si>
  <si>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</si>
  <si>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</si>
  <si>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</si>
  <si>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</si>
  <si>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</si>
  <si>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</si>
  <si>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</si>
  <si>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</si>
  <si>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</si>
  <si>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</si>
  <si>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</si>
  <si>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</si>
  <si>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</si>
  <si>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</si>
  <si>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</si>
  <si>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</si>
  <si>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</si>
  <si>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</si>
  <si>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</si>
  <si>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</si>
  <si>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</si>
  <si>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</si>
  <si>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</si>
  <si>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</si>
  <si>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</si>
  <si>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</si>
  <si>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</si>
  <si>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</si>
  <si>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</si>
  <si>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</si>
  <si>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</si>
  <si>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</si>
  <si>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</si>
  <si>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</si>
  <si>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</si>
  <si>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</si>
  <si>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</si>
  <si>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</si>
  <si>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</si>
  <si>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</si>
  <si>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</si>
  <si>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</si>
  <si>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</si>
  <si>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</si>
  <si>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</si>
  <si>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</si>
  <si>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</si>
  <si>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</si>
  <si>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</si>
  <si>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</si>
  <si>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</si>
  <si>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</si>
  <si>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</si>
  <si>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</si>
  <si>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</si>
  <si>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</si>
  <si>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</si>
  <si>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</si>
  <si>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</si>
  <si>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</si>
  <si>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</si>
  <si>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</si>
  <si>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</si>
  <si>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</si>
  <si>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</si>
  <si>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</si>
  <si>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</si>
  <si>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</si>
  <si>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</si>
  <si>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</si>
  <si>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</si>
  <si>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</si>
  <si>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</si>
  <si>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</si>
  <si>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</si>
  <si>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</si>
  <si>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</si>
  <si>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</si>
  <si>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</si>
  <si>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</si>
  <si>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</si>
  <si>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</si>
  <si>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</si>
  <si>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</si>
  <si>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</si>
  <si>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</si>
  <si>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</si>
  <si>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</si>
  <si>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</si>
  <si>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</si>
  <si>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</si>
  <si>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</si>
  <si>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</si>
  <si>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</si>
  <si>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</si>
  <si>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</si>
  <si>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</si>
  <si>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</si>
  <si>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</si>
  <si>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</si>
  <si>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</si>
  <si>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</si>
  <si>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</si>
  <si>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</si>
  <si>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</si>
  <si>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</si>
  <si>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</si>
  <si>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</si>
  <si>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</si>
  <si>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</si>
  <si>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</si>
  <si>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</si>
  <si>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</si>
  <si>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</si>
  <si>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</si>
  <si>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</si>
  <si>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</si>
  <si>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</si>
  <si>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</si>
  <si>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</si>
  <si>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</si>
  <si>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</si>
  <si>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</si>
  <si>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</si>
  <si>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</si>
  <si>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</si>
  <si>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</si>
  <si>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</si>
  <si>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</si>
  <si>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</si>
  <si>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</si>
  <si>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</si>
  <si>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</si>
  <si>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</si>
  <si>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</si>
  <si>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</si>
  <si>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</si>
  <si>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</si>
  <si>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</si>
  <si>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</si>
  <si>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</si>
  <si>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</si>
  <si>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</si>
  <si>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</si>
  <si>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</si>
  <si>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</si>
  <si>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</si>
  <si>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</si>
  <si>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</si>
  <si>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</si>
  <si>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</si>
  <si>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</si>
  <si>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</si>
  <si>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</si>
  <si>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</si>
  <si>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</si>
  <si>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</si>
  <si>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</si>
  <si>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</si>
  <si>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</si>
  <si>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</si>
  <si>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</si>
  <si>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</si>
  <si>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</si>
  <si>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</si>
  <si>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</si>
  <si>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</si>
  <si>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</si>
  <si>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</si>
  <si>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</si>
  <si>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</si>
  <si>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</si>
  <si>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</si>
  <si>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</si>
  <si>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</si>
  <si>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</si>
  <si>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</si>
  <si>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</si>
  <si>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</si>
  <si>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</si>
  <si>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</si>
  <si>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</si>
  <si>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</si>
  <si>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</si>
  <si>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</si>
  <si>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</si>
  <si>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</si>
  <si>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</si>
  <si>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</si>
  <si>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</si>
  <si>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</si>
  <si>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</si>
  <si>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</si>
  <si>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</si>
  <si>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</si>
  <si>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</si>
  <si>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</si>
  <si>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</si>
  <si>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</si>
  <si>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</si>
  <si>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</si>
  <si>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</si>
  <si>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</si>
  <si>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</si>
  <si>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</si>
  <si>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</si>
  <si>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</si>
  <si>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</si>
  <si>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</si>
  <si>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</si>
  <si>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</si>
  <si>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</si>
  <si>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</si>
  <si>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</si>
  <si>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</si>
  <si>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</si>
  <si>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</si>
  <si>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</si>
  <si>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</si>
  <si>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</si>
  <si>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</si>
  <si>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</si>
  <si>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</si>
  <si>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</si>
  <si>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</si>
  <si>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</si>
  <si>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</si>
  <si>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</si>
  <si>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</si>
  <si>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</si>
  <si>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</si>
  <si>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</si>
  <si>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</si>
  <si>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</si>
  <si>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</si>
  <si>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</si>
  <si>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</si>
  <si>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</si>
  <si>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</si>
  <si>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</si>
  <si>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</si>
  <si>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</si>
  <si>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</si>
  <si>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</si>
  <si>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</si>
  <si>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</si>
  <si>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</si>
  <si>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</si>
  <si>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</si>
  <si>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</si>
  <si>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</si>
  <si>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</si>
  <si>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</si>
  <si>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</si>
  <si>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</si>
  <si>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</si>
  <si>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</si>
  <si>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</si>
  <si>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</si>
  <si>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</si>
  <si>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</si>
  <si>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</si>
  <si>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</si>
  <si>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</si>
  <si>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</si>
  <si>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</si>
  <si>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</si>
  <si>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</si>
  <si>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</si>
  <si>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</si>
  <si>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</si>
  <si>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</si>
  <si>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</si>
  <si>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</si>
  <si>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</si>
  <si>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</si>
  <si>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</si>
  <si>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</si>
  <si>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</si>
  <si>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</si>
  <si>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</si>
  <si>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</si>
  <si>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</si>
  <si>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</si>
  <si>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</si>
  <si>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</si>
  <si>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</si>
  <si>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</si>
  <si>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</si>
  <si>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</si>
  <si>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</si>
  <si>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</si>
  <si>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</si>
  <si>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</si>
  <si>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</si>
  <si>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</si>
  <si>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</si>
  <si>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</si>
  <si>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</si>
  <si>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</si>
  <si>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</si>
  <si>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</si>
  <si>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</si>
  <si>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</si>
  <si>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</si>
  <si>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</si>
  <si>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</si>
  <si>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</si>
  <si>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</si>
  <si>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</si>
  <si>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</si>
  <si>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</si>
  <si>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</si>
  <si>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</si>
  <si>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</si>
  <si>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</si>
  <si>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</si>
  <si>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</si>
  <si>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</si>
  <si>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</si>
  <si>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</si>
  <si>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</si>
  <si>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</si>
  <si>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</si>
  <si>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</si>
  <si>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</si>
  <si>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</si>
  <si>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</si>
  <si>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</si>
  <si>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</si>
  <si>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</si>
  <si>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</si>
  <si>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</si>
  <si>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</si>
  <si>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</si>
  <si>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</si>
  <si>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</si>
  <si>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</si>
  <si>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</si>
  <si>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</si>
  <si>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</si>
  <si>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</si>
  <si>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</si>
  <si>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</si>
  <si>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</si>
  <si>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</si>
  <si>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</si>
  <si>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</si>
  <si>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</si>
  <si>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</si>
  <si>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</si>
  <si>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</si>
  <si>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</si>
  <si>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</si>
  <si>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</si>
  <si>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</si>
  <si>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</si>
  <si>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</si>
  <si>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</si>
  <si>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</si>
  <si>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</si>
  <si>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</si>
  <si>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</si>
  <si>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</si>
  <si>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</si>
  <si>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</si>
  <si>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</si>
  <si>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</si>
  <si>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</si>
  <si>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</si>
  <si>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</si>
  <si>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</si>
  <si>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</si>
  <si>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</si>
  <si>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</si>
  <si>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</si>
  <si>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</si>
  <si>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</si>
  <si>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</si>
  <si>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</si>
  <si>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</si>
  <si>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</si>
  <si>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</si>
  <si>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</si>
  <si>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</si>
  <si>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</si>
  <si>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</si>
  <si>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</si>
  <si>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</si>
  <si>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</si>
  <si>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</si>
  <si>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</si>
  <si>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</si>
  <si>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</si>
  <si>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</si>
  <si>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</si>
  <si>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</si>
  <si>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</si>
  <si>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</si>
  <si>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</si>
  <si>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</si>
  <si>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</si>
  <si>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</si>
  <si>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</si>
  <si>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</si>
  <si>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</si>
  <si>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</si>
  <si>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</si>
  <si>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</si>
  <si>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</si>
  <si>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</si>
  <si>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</si>
  <si>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</si>
  <si>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</si>
  <si>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</si>
  <si>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</si>
  <si>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</si>
  <si>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</si>
  <si>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</si>
  <si>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</si>
  <si>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</si>
  <si>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</si>
  <si>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</si>
  <si>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</si>
  <si>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</si>
  <si>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</si>
  <si>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</si>
  <si>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</si>
  <si>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</si>
  <si>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</si>
  <si>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</si>
  <si>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</si>
  <si>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</si>
  <si>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</si>
  <si>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</si>
  <si>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</si>
  <si>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</si>
  <si>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</si>
  <si>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</si>
  <si>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</si>
  <si>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</si>
  <si>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</si>
  <si>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</si>
  <si>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</si>
  <si>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</si>
  <si>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</si>
  <si>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</si>
  <si>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</si>
  <si>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</si>
  <si>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</si>
  <si>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</si>
  <si>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</si>
  <si>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</si>
  <si>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</si>
  <si>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</si>
  <si>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</si>
  <si>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</si>
  <si>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</si>
  <si>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</si>
  <si>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</si>
  <si>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</si>
  <si>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</si>
  <si>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</si>
  <si>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</si>
  <si>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</si>
  <si>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</si>
  <si>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</si>
  <si>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</si>
  <si>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</si>
  <si>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</si>
  <si>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</si>
  <si>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</si>
  <si>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</si>
  <si>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</si>
  <si>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</si>
  <si>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</si>
  <si>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</si>
  <si>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</si>
  <si>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</si>
  <si>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</si>
  <si>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</si>
  <si>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</si>
  <si>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</si>
  <si>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</si>
  <si>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</si>
  <si>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</si>
  <si>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</si>
  <si>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</si>
  <si>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</si>
  <si>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</si>
  <si>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</si>
  <si>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</si>
  <si>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</si>
  <si>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</si>
  <si>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</si>
  <si>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</si>
  <si>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</si>
  <si>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</si>
  <si>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</si>
  <si>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</si>
  <si>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</si>
  <si>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</si>
  <si>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</si>
  <si>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</si>
  <si>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</si>
  <si>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</si>
  <si>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</si>
  <si>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</si>
  <si>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</si>
  <si>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</si>
  <si>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</si>
  <si>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</si>
  <si>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</si>
  <si>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</si>
  <si>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</si>
  <si>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</si>
  <si>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</si>
  <si>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</si>
  <si>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</si>
  <si>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</si>
  <si>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</si>
  <si>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</si>
  <si>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</si>
  <si>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</si>
  <si>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</si>
  <si>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</si>
  <si>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</si>
  <si>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</si>
  <si>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</si>
  <si>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</si>
  <si>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</si>
  <si>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</si>
  <si>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</si>
  <si>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</si>
  <si>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</si>
  <si>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</si>
  <si>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</si>
  <si>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</si>
  <si>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</si>
  <si>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</si>
  <si>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</si>
  <si>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</si>
  <si>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</si>
  <si>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</si>
  <si>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</si>
  <si>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</si>
  <si>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</si>
  <si>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</si>
  <si>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</si>
  <si>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</si>
  <si>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</si>
  <si>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</si>
  <si>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</si>
  <si>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</si>
  <si>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</si>
  <si>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</si>
  <si>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</si>
  <si>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</si>
  <si>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</si>
  <si>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</si>
  <si>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</si>
  <si>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</si>
  <si>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</si>
  <si>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</si>
  <si>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</si>
  <si>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</si>
  <si>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</si>
  <si>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</si>
  <si>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</si>
  <si>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</si>
  <si>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</si>
  <si>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</si>
  <si>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</si>
  <si>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</si>
  <si>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</si>
  <si>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</si>
  <si>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</si>
  <si>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</si>
  <si>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</si>
  <si>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</si>
  <si>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</si>
  <si>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</si>
  <si>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</si>
  <si>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</si>
  <si>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</si>
  <si>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</si>
  <si>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</si>
  <si>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</si>
  <si>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</si>
  <si>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</si>
  <si>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</si>
  <si>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</si>
  <si>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</si>
  <si>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</si>
  <si>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</si>
  <si>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</si>
  <si>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</si>
  <si>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</si>
  <si>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</si>
  <si>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</si>
  <si>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</si>
  <si>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</si>
  <si>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</si>
  <si>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</si>
  <si>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</si>
  <si>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</si>
  <si>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</si>
  <si>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</si>
  <si>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</si>
  <si>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</si>
  <si>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</si>
  <si>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</si>
  <si>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</si>
  <si>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</si>
  <si>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</si>
  <si>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</si>
  <si>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</si>
  <si>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</si>
  <si>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</si>
  <si>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</si>
  <si>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</si>
  <si>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</si>
  <si>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</si>
  <si>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</si>
  <si>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</si>
  <si>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</si>
  <si>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</si>
  <si>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</si>
  <si>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</si>
  <si>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</si>
  <si>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</si>
  <si>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</si>
  <si>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</si>
  <si>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</si>
  <si>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</si>
  <si>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</si>
  <si>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</si>
  <si>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</si>
  <si>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</si>
  <si>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</si>
  <si>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</si>
  <si>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</si>
  <si>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</si>
  <si>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</si>
  <si>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</si>
  <si>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</si>
  <si>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</si>
  <si>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</si>
  <si>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</si>
  <si>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</si>
  <si>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</si>
  <si>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</si>
  <si>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</si>
  <si>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</si>
  <si>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</si>
  <si>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</si>
  <si>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</si>
  <si>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</si>
  <si>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</si>
  <si>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</si>
  <si>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</si>
  <si>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</si>
  <si>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</si>
  <si>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</si>
  <si>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</si>
  <si>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</si>
  <si>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</si>
  <si>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</si>
  <si>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</si>
  <si>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</si>
  <si>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</si>
  <si>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</si>
  <si>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</si>
  <si>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</si>
  <si>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</si>
  <si>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</si>
  <si>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</si>
  <si>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</si>
  <si>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</si>
  <si>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</si>
  <si>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</si>
  <si>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</si>
  <si>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</si>
  <si>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</si>
  <si>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</si>
  <si>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</si>
  <si>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</si>
  <si>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</si>
  <si>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</si>
  <si>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</si>
  <si>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</si>
  <si>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</si>
  <si>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</si>
  <si>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</si>
  <si>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</si>
  <si>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</si>
  <si>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</si>
  <si>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</si>
  <si>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</si>
  <si>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</si>
  <si>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</si>
  <si>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</si>
  <si>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</si>
  <si>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</si>
  <si>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</si>
  <si>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</si>
  <si>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</si>
  <si>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</si>
  <si>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</si>
  <si>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</si>
  <si>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</si>
  <si>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</si>
  <si>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</si>
  <si>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</si>
  <si>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</si>
  <si>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</si>
  <si>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</si>
  <si>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</si>
  <si>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</si>
  <si>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</si>
  <si>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</si>
  <si>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</si>
  <si>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</si>
  <si>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</si>
  <si>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</si>
  <si>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</si>
  <si>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</si>
  <si>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</si>
  <si>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</si>
  <si>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</si>
  <si>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</si>
  <si>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</si>
  <si>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</si>
  <si>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</si>
  <si>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</si>
  <si>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</si>
  <si>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</si>
  <si>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</si>
  <si>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</si>
  <si>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</si>
  <si>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</si>
  <si>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</si>
  <si>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</si>
  <si>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</si>
  <si>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</si>
  <si>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</si>
  <si>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</si>
  <si>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</si>
  <si>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</si>
  <si>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</si>
  <si>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</si>
  <si>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</si>
  <si>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</si>
  <si>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</si>
  <si>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</si>
  <si>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</si>
  <si>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</si>
  <si>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</si>
  <si>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</si>
  <si>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</si>
  <si>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</si>
  <si>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</si>
  <si>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</si>
  <si>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</si>
  <si>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</si>
  <si>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</si>
  <si>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</si>
  <si>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</si>
  <si>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</si>
  <si>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</si>
  <si>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</si>
  <si>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</si>
  <si>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</si>
  <si>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</si>
  <si>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</si>
  <si>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</si>
  <si>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</si>
  <si>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</si>
  <si>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</si>
  <si>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</si>
  <si>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</si>
  <si>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</si>
  <si>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</si>
  <si>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</si>
  <si>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</si>
  <si>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</si>
  <si>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</si>
  <si>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</si>
  <si>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</si>
  <si>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</si>
  <si>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</si>
  <si>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</si>
  <si>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</si>
  <si>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</si>
  <si>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</si>
  <si>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</si>
  <si>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</si>
  <si>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</si>
  <si>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</si>
  <si>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</si>
  <si>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</si>
  <si>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</si>
  <si>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</si>
  <si>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</si>
  <si>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</si>
  <si>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</si>
  <si>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</si>
  <si>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</si>
  <si>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</si>
  <si>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</si>
  <si>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</si>
  <si>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</si>
  <si>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</si>
  <si>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</si>
  <si>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</si>
  <si>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</si>
  <si>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</si>
  <si>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</si>
  <si>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</si>
  <si>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</si>
  <si>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</si>
  <si>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</si>
  <si>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</si>
  <si>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</si>
  <si>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</si>
  <si>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</si>
  <si>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</si>
  <si>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</si>
  <si>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</si>
  <si>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</si>
  <si>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</si>
  <si>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</si>
  <si>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</si>
  <si>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</si>
  <si>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</si>
  <si>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</si>
  <si>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</si>
  <si>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</si>
  <si>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</si>
  <si>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</si>
  <si>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</si>
  <si>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</si>
  <si>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</si>
  <si>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</si>
  <si>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</si>
  <si>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</si>
  <si>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</si>
  <si>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</si>
  <si>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</si>
  <si>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</si>
  <si>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</si>
  <si>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</si>
  <si>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</si>
  <si>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</si>
  <si>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</si>
  <si>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</si>
  <si>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</si>
  <si>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</si>
  <si>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</si>
  <si>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</si>
  <si>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</si>
  <si>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</si>
  <si>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</si>
  <si>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</si>
  <si>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</si>
  <si>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</si>
  <si>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</si>
  <si>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</si>
  <si>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</si>
  <si>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</si>
  <si>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</si>
  <si>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</si>
  <si>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</si>
  <si>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</si>
  <si>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</si>
  <si>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</si>
  <si>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</si>
  <si>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</si>
  <si>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</si>
  <si>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</si>
  <si>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</si>
  <si>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</si>
  <si>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</si>
  <si>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</si>
  <si>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</si>
  <si>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</si>
  <si>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</si>
  <si>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</si>
  <si>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</si>
  <si>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</si>
  <si>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</si>
  <si>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</si>
  <si>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</si>
  <si>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</si>
  <si>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</si>
  <si>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</si>
  <si>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</si>
  <si>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</si>
  <si>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</si>
  <si>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</si>
  <si>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</si>
  <si>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</si>
  <si>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</si>
  <si>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</si>
  <si>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</si>
  <si>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</si>
  <si>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</si>
  <si>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</si>
  <si>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</si>
  <si>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</si>
  <si>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</si>
  <si>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</si>
  <si>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</si>
  <si>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</si>
  <si>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</si>
  <si>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</si>
  <si>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</si>
  <si>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</si>
  <si>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</si>
  <si>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</si>
  <si>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</si>
  <si>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</si>
  <si>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</si>
  <si>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</si>
  <si>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</si>
  <si>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</si>
  <si>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</si>
  <si>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</si>
  <si>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</si>
  <si>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</si>
  <si>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</si>
  <si>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</si>
  <si>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</si>
  <si>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</si>
  <si>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</si>
  <si>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</si>
  <si>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</si>
  <si>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</si>
  <si>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</si>
  <si>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</si>
  <si>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</si>
  <si>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</si>
  <si>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</si>
  <si>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</si>
  <si>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</si>
  <si>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</si>
  <si>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</si>
  <si>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</si>
  <si>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</si>
  <si>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</si>
  <si>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</si>
  <si>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</si>
  <si>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</si>
  <si>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</si>
  <si>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</si>
  <si>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</si>
  <si>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</si>
  <si>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</si>
  <si>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</si>
  <si>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</si>
  <si>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</si>
  <si>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</si>
  <si>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</si>
  <si>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</si>
  <si>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</si>
  <si>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</si>
  <si>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</si>
  <si>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</si>
  <si>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</si>
  <si>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</si>
  <si>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</si>
  <si>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</si>
  <si>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</si>
  <si>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</si>
  <si>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</si>
  <si>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</si>
  <si>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</si>
  <si>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</si>
  <si>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</si>
  <si>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</si>
  <si>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</si>
  <si>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</si>
  <si>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</si>
  <si>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</si>
  <si>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</si>
  <si>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</si>
  <si>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</si>
  <si>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</si>
  <si>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</si>
  <si>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</si>
  <si>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</si>
  <si>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</si>
  <si>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</si>
  <si>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</si>
  <si>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</si>
  <si>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</si>
  <si>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</si>
  <si>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</si>
  <si>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</si>
  <si>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</si>
  <si>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</si>
  <si>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</si>
  <si>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</si>
  <si>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</si>
  <si>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</si>
  <si>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</si>
  <si>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</si>
  <si>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</si>
  <si>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</si>
  <si>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</si>
  <si>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</si>
  <si>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</si>
  <si>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</si>
  <si>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</si>
  <si>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</si>
  <si>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</si>
  <si>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</si>
  <si>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</si>
  <si>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</si>
  <si>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</si>
  <si>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</si>
  <si>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</si>
  <si>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</si>
  <si>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</si>
  <si>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</si>
  <si>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</si>
  <si>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</si>
  <si>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</si>
  <si>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</si>
  <si>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</si>
  <si>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</si>
  <si>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</si>
  <si>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</si>
  <si>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</si>
  <si>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</si>
  <si>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</si>
  <si>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</si>
  <si>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</si>
  <si>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</si>
  <si>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</si>
  <si>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</si>
  <si>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</si>
  <si>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</si>
  <si>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</si>
  <si>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</si>
  <si>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</si>
  <si>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</si>
  <si>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</si>
  <si>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</si>
  <si>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</si>
  <si>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</si>
  <si>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</si>
  <si>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</si>
  <si>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</si>
  <si>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</si>
  <si>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</si>
  <si>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</si>
  <si>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</si>
  <si>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</si>
  <si>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</si>
  <si>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</si>
  <si>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</si>
  <si>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</si>
  <si>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</si>
  <si>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</si>
  <si>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</si>
  <si>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</si>
  <si>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</si>
  <si>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</si>
  <si>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</si>
  <si>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</si>
  <si>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</si>
  <si>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</si>
  <si>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</si>
  <si>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</si>
  <si>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</si>
  <si>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</si>
  <si>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</si>
  <si>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</si>
  <si>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</si>
  <si>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</si>
  <si>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</si>
  <si>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</si>
  <si>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</si>
  <si>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</si>
  <si>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</si>
  <si>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</si>
  <si>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</si>
  <si>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</si>
  <si>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</si>
  <si>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</si>
  <si>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</si>
  <si>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</si>
  <si>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</si>
  <si>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</si>
  <si>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</si>
  <si>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</si>
  <si>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</si>
  <si>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</si>
  <si>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</si>
  <si>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</si>
  <si>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</si>
  <si>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</si>
  <si>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</si>
  <si>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</si>
  <si>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</si>
  <si>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</si>
  <si>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</si>
  <si>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</si>
  <si>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</si>
  <si>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</si>
  <si>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</si>
  <si>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</si>
  <si>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</si>
  <si>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</si>
  <si>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</si>
  <si>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</si>
  <si>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</si>
  <si>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</si>
  <si>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</si>
  <si>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</si>
  <si>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</si>
  <si>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</si>
  <si>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</si>
  <si>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</si>
  <si>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</si>
  <si>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</si>
  <si>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</si>
  <si>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</si>
  <si>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</si>
  <si>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</si>
  <si>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</si>
  <si>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</si>
  <si>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</si>
  <si>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</si>
  <si>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</si>
  <si>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</si>
  <si>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</si>
  <si>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</si>
  <si>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</si>
  <si>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</si>
  <si>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</si>
  <si>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</si>
  <si>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</si>
  <si>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</si>
  <si>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</si>
  <si>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</si>
  <si>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</si>
  <si>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</si>
  <si>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</si>
  <si>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</si>
  <si>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</si>
  <si>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</si>
  <si>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</si>
  <si>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</si>
  <si>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</si>
  <si>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</si>
  <si>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</si>
  <si>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</si>
  <si>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</si>
  <si>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</si>
  <si>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</si>
  <si>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</si>
  <si>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</si>
  <si>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</si>
  <si>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</si>
  <si>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</si>
  <si>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</si>
  <si>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</si>
  <si>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</si>
  <si>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</si>
  <si>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</si>
  <si>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</si>
  <si>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</si>
  <si>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</si>
  <si>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</si>
  <si>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</si>
  <si>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</si>
  <si>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</si>
  <si>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</si>
  <si>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</si>
  <si>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</si>
  <si>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</si>
  <si>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</si>
  <si>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</si>
  <si>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</si>
  <si>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</si>
  <si>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</si>
  <si>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</si>
  <si>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</si>
  <si>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</si>
  <si>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</si>
  <si>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</si>
  <si>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</si>
  <si>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</si>
  <si>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</si>
  <si>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</si>
  <si>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</si>
  <si>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</si>
  <si>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</si>
  <si>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</si>
  <si>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</si>
  <si>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</si>
  <si>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</si>
  <si>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</si>
  <si>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</si>
  <si>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</si>
  <si>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</si>
  <si>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</si>
  <si>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</si>
  <si>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</si>
  <si>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</si>
  <si>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</si>
  <si>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</si>
  <si>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</si>
  <si>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</si>
  <si>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</si>
  <si>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</si>
  <si>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</si>
  <si>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</si>
  <si>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</si>
  <si>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</si>
  <si>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</si>
  <si>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</si>
  <si>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</si>
  <si>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</si>
  <si>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</si>
  <si>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</si>
  <si>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</si>
  <si>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</si>
  <si>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</si>
  <si>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</si>
  <si>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</si>
  <si>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</si>
  <si>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</si>
  <si>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</si>
  <si>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</si>
  <si>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</si>
  <si>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</si>
  <si>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</si>
  <si>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</si>
  <si>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</si>
  <si>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</si>
  <si>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</si>
  <si>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</si>
  <si>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</si>
  <si>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</si>
  <si>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</si>
  <si>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</si>
  <si>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</si>
  <si>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</si>
  <si>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</si>
  <si>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</si>
  <si>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</si>
  <si>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</si>
  <si>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</si>
  <si>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</si>
  <si>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</si>
  <si>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</si>
  <si>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</si>
  <si>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</si>
  <si>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</si>
  <si>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</si>
  <si>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</si>
  <si>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</si>
  <si>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</si>
  <si>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</si>
  <si>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</si>
  <si>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</si>
  <si>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</si>
  <si>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</si>
  <si>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</si>
  <si>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</si>
  <si>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</si>
  <si>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</si>
  <si>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</si>
  <si>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</si>
  <si>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</si>
  <si>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</si>
  <si>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</si>
  <si>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</si>
  <si>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</si>
  <si>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</si>
  <si>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</si>
  <si>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</si>
  <si>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</si>
  <si>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</si>
  <si>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</si>
  <si>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</si>
  <si>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</si>
  <si>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</si>
  <si>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</si>
  <si>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</si>
  <si>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</si>
  <si>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</si>
  <si>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</si>
  <si>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</si>
  <si>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</si>
  <si>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</si>
  <si>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</si>
  <si>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</si>
  <si>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</si>
  <si>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</si>
  <si>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</si>
  <si>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</si>
  <si>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</si>
  <si>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</si>
  <si>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</si>
  <si>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</si>
  <si>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</si>
  <si>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</si>
  <si>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</si>
  <si>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</si>
  <si>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</si>
  <si>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</si>
  <si>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</si>
  <si>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</si>
  <si>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</si>
  <si>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</si>
  <si>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</si>
  <si>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</si>
  <si>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</si>
  <si>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</si>
  <si>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</si>
  <si>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</si>
  <si>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</si>
  <si>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</si>
  <si>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</si>
  <si>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</si>
  <si>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</si>
  <si>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</si>
  <si>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</si>
  <si>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</si>
  <si>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</si>
  <si>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</si>
  <si>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</si>
  <si>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</si>
  <si>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</si>
  <si>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</si>
  <si>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</si>
  <si>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</si>
  <si>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</si>
  <si>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</si>
  <si>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</si>
  <si>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</si>
  <si>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</si>
  <si>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</si>
  <si>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</si>
  <si>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</si>
  <si>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</si>
  <si>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</si>
  <si>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</si>
  <si>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</si>
  <si>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</si>
  <si>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</si>
  <si>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</si>
  <si>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</si>
  <si>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</si>
  <si>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</si>
  <si>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</si>
  <si>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</si>
  <si>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</si>
  <si>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</si>
  <si>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</si>
  <si>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</si>
  <si>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</si>
  <si>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</si>
  <si>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</si>
  <si>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</si>
  <si>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</si>
  <si>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</si>
  <si>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</si>
  <si>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</si>
  <si>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</si>
  <si>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</si>
  <si>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</si>
  <si>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</si>
  <si>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</si>
  <si>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</si>
  <si>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</si>
  <si>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</si>
  <si>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</si>
  <si>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</si>
  <si>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</si>
  <si>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</si>
  <si>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</si>
  <si>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</si>
  <si>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</si>
  <si>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</si>
  <si>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</si>
  <si>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</si>
  <si>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</si>
  <si>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</si>
  <si>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</si>
  <si>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</si>
  <si>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</si>
  <si>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</si>
  <si>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</si>
  <si>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</si>
  <si>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</si>
  <si>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</si>
  <si>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</si>
  <si>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</si>
  <si>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</si>
  <si>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</si>
  <si>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</si>
  <si>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</si>
  <si>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</si>
  <si>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</si>
  <si>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</si>
  <si>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</si>
  <si>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</si>
  <si>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</si>
  <si>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</si>
  <si>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</si>
  <si>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</si>
  <si>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</si>
  <si>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</si>
  <si>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</si>
  <si>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</si>
  <si>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</si>
  <si>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</si>
  <si>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</si>
  <si>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</si>
  <si>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</si>
  <si>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</si>
  <si>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</si>
  <si>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</si>
  <si>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</si>
  <si>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</si>
  <si>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</si>
  <si>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</si>
  <si>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</si>
  <si>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</si>
  <si>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</si>
  <si>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</si>
  <si>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</si>
  <si>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</si>
  <si>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</si>
  <si>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</si>
  <si>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</si>
  <si>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</si>
  <si>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</si>
  <si>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</si>
  <si>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</si>
  <si>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</si>
  <si>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</si>
  <si>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</si>
  <si>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</si>
  <si>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</si>
  <si>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</si>
  <si>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</si>
  <si>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</si>
  <si>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</si>
  <si>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</si>
  <si>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</si>
  <si>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</si>
  <si>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</si>
  <si>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</si>
  <si>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</si>
  <si>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</si>
  <si>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</si>
  <si>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</si>
  <si>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</si>
  <si>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</si>
  <si>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</si>
  <si>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</si>
  <si>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</si>
  <si>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</si>
  <si>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</si>
  <si>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</si>
  <si>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</si>
  <si>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</si>
  <si>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</si>
  <si>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</si>
  <si>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</si>
  <si>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</si>
  <si>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</si>
  <si>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</si>
  <si>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</si>
  <si>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</si>
  <si>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</si>
  <si>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</si>
  <si>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</si>
  <si>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</si>
  <si>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</si>
  <si>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</si>
  <si>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</si>
  <si>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</si>
  <si>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</si>
  <si>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</si>
  <si>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</si>
  <si>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</si>
  <si>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</si>
  <si>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</si>
  <si>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</si>
  <si>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</si>
  <si>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</si>
  <si>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</si>
  <si>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</si>
  <si>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</si>
  <si>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</si>
  <si>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</si>
  <si>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</si>
  <si>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</si>
  <si>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</si>
  <si>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</si>
  <si>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</si>
  <si>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</si>
  <si>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</si>
  <si>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</si>
  <si>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</si>
  <si>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</si>
  <si>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</si>
  <si>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</si>
  <si>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</si>
  <si>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</si>
  <si>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</si>
  <si>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</si>
  <si>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</si>
  <si>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</si>
  <si>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</si>
  <si>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</si>
  <si>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</si>
  <si>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</si>
  <si>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</si>
  <si>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</si>
  <si>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</si>
  <si>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</si>
  <si>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</si>
  <si>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</si>
  <si>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</si>
  <si>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</si>
  <si>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</si>
  <si>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</si>
  <si>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</si>
  <si>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</si>
  <si>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</si>
  <si>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</si>
  <si>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</si>
  <si>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</si>
  <si>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</si>
  <si>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</si>
  <si>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</si>
  <si>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</si>
  <si>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</si>
  <si>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</si>
  <si>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</si>
  <si>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</si>
  <si>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</si>
  <si>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</si>
  <si>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</si>
  <si>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</si>
  <si>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</si>
  <si>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</si>
  <si>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</si>
  <si>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</si>
  <si>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</si>
  <si>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</si>
  <si>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</si>
  <si>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</si>
  <si>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</si>
  <si>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</si>
  <si>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</si>
  <si>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</si>
  <si>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</si>
  <si>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</si>
  <si>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</si>
  <si>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</si>
  <si>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</si>
  <si>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</si>
  <si>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</si>
  <si>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</si>
  <si>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</si>
  <si>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</si>
  <si>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</si>
  <si>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</si>
  <si>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</si>
  <si>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</si>
  <si>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</si>
  <si>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</si>
  <si>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</si>
  <si>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</si>
  <si>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</si>
  <si>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</si>
  <si>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</si>
  <si>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</si>
  <si>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</si>
  <si>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</si>
  <si>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</si>
  <si>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</si>
  <si>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</si>
  <si>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</si>
  <si>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</si>
  <si>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</si>
  <si>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</si>
  <si>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</si>
  <si>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</si>
  <si>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</si>
  <si>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</si>
  <si>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</si>
  <si>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</si>
  <si>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</si>
  <si>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</si>
  <si>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</si>
  <si>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</si>
  <si>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</si>
  <si>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</si>
  <si>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</si>
  <si>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</si>
  <si>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</si>
  <si>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</si>
  <si>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</si>
  <si>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</si>
  <si>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</si>
  <si>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</si>
  <si>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</si>
  <si>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</si>
  <si>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</si>
  <si>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</si>
  <si>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</si>
  <si>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</si>
  <si>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</si>
  <si>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</si>
  <si>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</si>
  <si>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</si>
  <si>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</si>
  <si>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</si>
  <si>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</si>
  <si>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</si>
  <si>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</si>
  <si>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</si>
  <si>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</si>
  <si>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</si>
  <si>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</si>
  <si>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</si>
  <si>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</si>
  <si>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</si>
  <si>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</si>
  <si>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</si>
  <si>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</si>
  <si>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</si>
  <si>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</si>
  <si>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</si>
  <si>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</si>
  <si>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</si>
  <si>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</si>
  <si>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</si>
  <si>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</si>
  <si>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</si>
  <si>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</si>
  <si>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</si>
  <si>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</si>
  <si>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</si>
  <si>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</si>
  <si>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</si>
  <si>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</si>
  <si>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</si>
  <si>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</si>
  <si>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</si>
  <si>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</si>
  <si>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</si>
  <si>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</si>
  <si>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</si>
  <si>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</si>
  <si>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</si>
  <si>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</si>
  <si>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</si>
  <si>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</si>
  <si>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</si>
  <si>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</si>
  <si>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</si>
  <si>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</si>
  <si>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</si>
  <si>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</si>
  <si>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</si>
  <si>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</si>
  <si>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</si>
  <si>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</si>
  <si>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</si>
  <si>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</si>
  <si>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</si>
  <si>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</si>
  <si>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</si>
  <si>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</si>
  <si>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</si>
  <si>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</si>
  <si>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</si>
  <si>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</si>
  <si>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</si>
  <si>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</si>
  <si>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</si>
  <si>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</si>
  <si>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</si>
  <si>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</si>
  <si>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</si>
  <si>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</si>
  <si>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</si>
  <si>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</si>
  <si>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</si>
  <si>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</si>
  <si>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</si>
  <si>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</si>
  <si>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</si>
  <si>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</si>
  <si>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</si>
  <si>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</si>
  <si>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</si>
  <si>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</si>
  <si>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</si>
  <si>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</si>
  <si>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</si>
  <si>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</si>
  <si>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</si>
  <si>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</si>
  <si>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</si>
  <si>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</si>
  <si>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</si>
  <si>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</si>
  <si>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</si>
  <si>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</si>
  <si>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</si>
  <si>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</si>
  <si>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</si>
  <si>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</si>
  <si>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</si>
  <si>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</si>
  <si>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</si>
  <si>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</si>
  <si>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</si>
  <si>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</si>
  <si>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</si>
  <si>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</si>
  <si>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</si>
  <si>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</si>
  <si>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</si>
  <si>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</si>
  <si>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</si>
  <si>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</si>
  <si>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</si>
  <si>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</si>
  <si>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</si>
  <si>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</si>
  <si>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</si>
  <si>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</si>
  <si>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</si>
  <si>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</si>
  <si>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</si>
  <si>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</si>
  <si>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</si>
  <si>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</si>
  <si>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</si>
  <si>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</si>
  <si>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</si>
  <si>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</si>
  <si>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</si>
  <si>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</si>
  <si>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</si>
  <si>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</si>
  <si>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</si>
  <si>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</si>
  <si>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</si>
  <si>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</si>
  <si>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</si>
  <si>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</si>
  <si>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</si>
  <si>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</si>
  <si>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</si>
  <si>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</si>
  <si>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</si>
  <si>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</si>
  <si>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</si>
  <si>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</si>
  <si>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</si>
  <si>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</si>
  <si>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</si>
  <si>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</si>
  <si>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</si>
  <si>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</si>
  <si>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</si>
  <si>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</si>
  <si>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</si>
  <si>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</si>
  <si>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</si>
  <si>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</si>
  <si>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</si>
  <si>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</si>
  <si>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</si>
  <si>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</si>
  <si>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</si>
  <si>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</si>
  <si>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</si>
  <si>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</si>
  <si>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</si>
  <si>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</si>
  <si>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</si>
  <si>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</si>
  <si>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</si>
  <si>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</si>
  <si>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</si>
  <si>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</si>
  <si>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</si>
  <si>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</si>
  <si>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</si>
  <si>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</si>
  <si>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</si>
  <si>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</si>
  <si>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</si>
  <si>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</si>
  <si>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</si>
  <si>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</si>
  <si>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</si>
  <si>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</si>
  <si>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</si>
  <si>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</si>
  <si>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</si>
  <si>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</si>
  <si>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</si>
  <si>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</si>
  <si>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</si>
  <si>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</si>
  <si>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</si>
  <si>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</si>
  <si>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</si>
  <si>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</si>
  <si>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</si>
  <si>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</si>
  <si>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</si>
  <si>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</si>
  <si>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</si>
  <si>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</si>
  <si>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</si>
  <si>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</si>
  <si>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</si>
  <si>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</si>
  <si>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</si>
  <si>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</si>
  <si>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</si>
  <si>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</si>
  <si>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</si>
  <si>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</si>
  <si>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</si>
  <si>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</si>
  <si>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</si>
  <si>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</si>
  <si>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</si>
  <si>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</si>
  <si>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</si>
  <si>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</si>
  <si>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</si>
  <si>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</si>
  <si>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</si>
  <si>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</si>
  <si>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</si>
  <si>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</si>
  <si>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</si>
  <si>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</si>
  <si>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</si>
  <si>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</si>
  <si>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</si>
  <si>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</si>
  <si>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</si>
  <si>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</si>
  <si>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</si>
  <si>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</si>
  <si>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</si>
  <si>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</si>
  <si>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</si>
  <si>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</si>
  <si>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</si>
  <si>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</si>
  <si>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</si>
  <si>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</si>
  <si>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</si>
  <si>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</si>
  <si>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</si>
  <si>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</si>
  <si>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</si>
  <si>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</si>
  <si>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</si>
  <si>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</si>
  <si>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</si>
  <si>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</si>
  <si>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</si>
  <si>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</si>
  <si>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</si>
  <si>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</si>
  <si>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</si>
  <si>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</si>
  <si>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</si>
  <si>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</si>
  <si>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</si>
  <si>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</si>
  <si>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</si>
  <si>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</si>
  <si>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</si>
  <si>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</si>
  <si>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</si>
  <si>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</si>
  <si>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</si>
  <si>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</si>
  <si>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</si>
  <si>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</si>
  <si>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</si>
  <si>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</si>
  <si>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</si>
  <si>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</si>
  <si>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</si>
  <si>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</si>
  <si>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</si>
  <si>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</si>
  <si>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</si>
  <si>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</si>
  <si>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</si>
  <si>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</si>
  <si>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</si>
  <si>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</si>
  <si>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</si>
  <si>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</si>
  <si>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</si>
  <si>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</si>
  <si>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</si>
  <si>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</si>
  <si>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</si>
  <si>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</si>
  <si>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</si>
  <si>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</si>
  <si>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</si>
  <si>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</si>
  <si>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</si>
  <si>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</si>
  <si>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</si>
  <si>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</si>
  <si>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</si>
  <si>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</si>
  <si>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</si>
  <si>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</si>
  <si>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</si>
  <si>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</si>
  <si>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</si>
  <si>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</si>
  <si>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</si>
  <si>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</si>
  <si>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</si>
  <si>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</si>
  <si>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</si>
  <si>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</si>
  <si>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</si>
  <si>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</si>
  <si>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</si>
  <si>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</si>
  <si>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</si>
  <si>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</si>
  <si>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</si>
  <si>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</si>
  <si>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</si>
  <si>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</si>
  <si>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</si>
  <si>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</si>
  <si>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</si>
  <si>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</si>
  <si>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</si>
  <si>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</si>
  <si>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</si>
  <si>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</si>
  <si>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</si>
  <si>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</si>
  <si>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</si>
  <si>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</si>
  <si>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</si>
  <si>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</si>
  <si>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</si>
  <si>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</si>
  <si>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</si>
  <si>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</si>
  <si>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</si>
  <si>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</si>
  <si>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</si>
  <si>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</si>
  <si>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</si>
  <si>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</si>
  <si>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</si>
  <si>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</si>
  <si>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</si>
  <si>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</si>
  <si>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</si>
  <si>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</si>
  <si>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</si>
  <si>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</si>
  <si>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</si>
  <si>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</si>
  <si>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</si>
  <si>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</si>
  <si>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</si>
  <si>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</si>
  <si>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</si>
  <si>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</si>
  <si>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</si>
  <si>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</si>
  <si>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</si>
  <si>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</si>
  <si>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</si>
  <si>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</si>
  <si>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</si>
  <si>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</si>
  <si>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</si>
  <si>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</si>
  <si>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</si>
  <si>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</si>
  <si>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</si>
  <si>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</si>
  <si>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</si>
  <si>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</si>
  <si>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</si>
  <si>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</si>
  <si>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</si>
  <si>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</si>
  <si>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</si>
  <si>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</si>
  <si>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</si>
  <si>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</si>
  <si>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</si>
  <si>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</si>
  <si>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</si>
  <si>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</si>
  <si>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</si>
  <si>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</si>
  <si>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</si>
  <si>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</si>
  <si>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</si>
  <si>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</si>
  <si>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</si>
  <si>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</si>
  <si>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</si>
  <si>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MACOUPIN</t>
  </si>
  <si>
    <t>829 WEST MAIN STREET</t>
  </si>
  <si>
    <t>CARLINVILLE</t>
  </si>
  <si>
    <t>SCHUCHMB@CUSD1.COM</t>
  </si>
  <si>
    <t>LOY MILLER TALLEY, PC</t>
  </si>
  <si>
    <t>KENNETH E. LOY, CPA</t>
  </si>
  <si>
    <t>#2 CROSSROADS CT</t>
  </si>
  <si>
    <t>ALTON</t>
  </si>
  <si>
    <t>IL</t>
  </si>
  <si>
    <t>618-465-1196</t>
  </si>
  <si>
    <t>618-465-2900</t>
  </si>
  <si>
    <t>060-003363</t>
  </si>
  <si>
    <t>KEN@LMTCPAS.COM</t>
  </si>
  <si>
    <t>BECKY SCHUCHMAN</t>
  </si>
  <si>
    <t>217-854-9823</t>
  </si>
  <si>
    <t>217-854-2777</t>
  </si>
  <si>
    <t>MICHELLE MUELLER</t>
  </si>
  <si>
    <t>MMUELLER@ROE40.COM</t>
  </si>
  <si>
    <t>217-854-4016</t>
  </si>
  <si>
    <t>217-854-2032</t>
  </si>
  <si>
    <t>11/5/1196</t>
  </si>
  <si>
    <t>SERIES 2016B GO LTD SCHOOL BONDS</t>
  </si>
  <si>
    <t>SERIES 2018 GO LTD SCHOOL BONDS</t>
  </si>
  <si>
    <t>COPIER LEASE</t>
  </si>
  <si>
    <t>CAPITAL LEASE</t>
  </si>
  <si>
    <t>10-3999 St Library Grant $1045, Other State Funds $2654</t>
  </si>
  <si>
    <t>10-1790 Resale-Elementary, Resale-Secondary $1572, Resale-Vocational $338, Resale-Music $369</t>
  </si>
  <si>
    <t>10-1999 Other Local Revenues $3482</t>
  </si>
  <si>
    <t>10-1614 PTO Milk Fund $7816, Milk Fund $7605</t>
  </si>
  <si>
    <t>10-1690 Catering $3112, Other Food Revenue $201, Cash Drawer Under/Over $28</t>
  </si>
  <si>
    <t>20-1999 Other Local Revenues $2234</t>
  </si>
  <si>
    <t>40-1999 Other Local Revenues $2307</t>
  </si>
  <si>
    <t>10-2190-300 Graduation &amp; Assembly $1891</t>
  </si>
  <si>
    <t>10-2190-100 Playground Aid $4814</t>
  </si>
  <si>
    <t>50-2190-200 FICA Playground $367</t>
  </si>
  <si>
    <t>x</t>
  </si>
  <si>
    <t>AUDIT CHECK ERROR ON DEBT ISSUANCE DUE TO CAPITAL LEASE ISSUANCE OF $47784</t>
  </si>
  <si>
    <t>AS RECOGNIZED IN ACCT 10-7990</t>
  </si>
  <si>
    <t>U.S. DEPARTMENT OF AGRICULTURE PASS-THROUGH</t>
  </si>
  <si>
    <t>PROGRAMS FROM ILLINOIS STATE BOARD OF EDUCATION:</t>
  </si>
  <si>
    <t>CHILD NUTRITION CLUSTER:</t>
  </si>
  <si>
    <t>19-4210-00</t>
  </si>
  <si>
    <t>18-4210-00</t>
  </si>
  <si>
    <t>19-4220-00</t>
  </si>
  <si>
    <t>SCHOOL BREAKFAST PROGRAM</t>
  </si>
  <si>
    <t>18-4220-00</t>
  </si>
  <si>
    <t>TOTAL CHILD NUTRITION CLUSTER</t>
  </si>
  <si>
    <t>COMMODITIES (NON-CASH)</t>
  </si>
  <si>
    <t>19-4250-00</t>
  </si>
  <si>
    <t>DEPARTMENT OF DEFENSE FRESH FRUITS &amp; VEGETABLES</t>
  </si>
  <si>
    <t>TOTAL U.S. DEPARTMENT OF AGRICULTURE PASS-THROUGH PROGRAMS</t>
  </si>
  <si>
    <t>US DEPARTMENT OF EDUCATION:</t>
  </si>
  <si>
    <t xml:space="preserve">  PASS-THROUGH PROGRAMS FROM IL STATE BOARD OF EDUCATION:</t>
  </si>
  <si>
    <t>(M) TITLE I - LOW INCOME</t>
  </si>
  <si>
    <t xml:space="preserve"> TITLE I - LOW INCOME</t>
  </si>
  <si>
    <t>TITLE II - TEACHER QUALITY</t>
  </si>
  <si>
    <t>TOTAL US DEPARTMENT OF AGRICULTURE:</t>
  </si>
  <si>
    <t>19-4300-00</t>
  </si>
  <si>
    <t>18-4300-00</t>
  </si>
  <si>
    <t>19-4932-00</t>
  </si>
  <si>
    <t>18-4932-00</t>
  </si>
  <si>
    <t>19-4400-00</t>
  </si>
  <si>
    <t>N/A</t>
  </si>
  <si>
    <t>NATIONAL SCHOOL LUNCH PROGRAM</t>
  </si>
  <si>
    <t>18-4400-00</t>
  </si>
  <si>
    <t>U.S. DEPARTMENT OF HEALTH &amp; HUMAN SERVICES -</t>
  </si>
  <si>
    <t>PASS-THROUGH PROGRAMS FROM THE ILLINOIS DEPARTMENT OF HEALTHCARE AND FAMILY SERVICES</t>
  </si>
  <si>
    <t>MEDICAL ASSISTANCE PROGRAM</t>
  </si>
  <si>
    <t>19-4991-00</t>
  </si>
  <si>
    <t>TOTAL U.S. DEPARTMENT OF HEALTH &amp; HUMAN SERVICES</t>
  </si>
  <si>
    <t>TOTAL FEDERAL FUNDS:</t>
  </si>
  <si>
    <t>PASS-THROUGH ILLINOIS STATE BOARD OF EDUCATION</t>
  </si>
  <si>
    <t xml:space="preserve">  PASS-THROUGH DEPARTMENT OF HEALTH &amp; HUMAN SERVICES</t>
  </si>
  <si>
    <t>PASS-THROUGH OTHER ENTITIES</t>
  </si>
  <si>
    <t>TOTAL FEDERAL FUNDS</t>
  </si>
  <si>
    <t>PASS-THROUGH PROGRAMS FROM MAC. COUNTY REGIONAL VOCATION ED. COOP.</t>
  </si>
  <si>
    <t>PERKINS TITLE IIC</t>
  </si>
  <si>
    <t>TOTAL PASS-THROUGH MACOUPIN COUNTY</t>
  </si>
  <si>
    <t>TOTAL OTHER PASS-THROUGH ENTITIES</t>
  </si>
  <si>
    <t>19-4745-00</t>
  </si>
  <si>
    <r>
      <t xml:space="preserve">The accompanying Schedule of Expenditures of Federal Awards includes the federal grant activity of </t>
    </r>
    <r>
      <rPr>
        <b/>
        <sz val="9"/>
        <rFont val="Calibri"/>
        <family val="2"/>
        <scheme val="minor"/>
      </rPr>
      <t>Carlinville Community School District #1</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</si>
  <si>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Carlinville Community School District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</si>
  <si>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 FEDERAL AWARDS WERE PROVIDED TO SUBRECIPIENTS</t>
  </si>
  <si>
    <t>ADVERSE</t>
  </si>
  <si>
    <t>UNMODIFIED</t>
  </si>
  <si>
    <t>TITLE I - LOW INCOME</t>
  </si>
  <si>
    <t>NO FINDINGS NOTED FOR THE FYE 6/30/19</t>
  </si>
  <si>
    <t>CHILD NUTRITION PROGRAM</t>
  </si>
  <si>
    <t>U.S. DEPARTMENT OF AGRICULTURE</t>
  </si>
  <si>
    <t>DURING THE ISBE'S EXTERNAL ASSURANCE AUDIT, THE FOLLOWING DISCREPANCIES WERE NOTED</t>
  </si>
  <si>
    <t>APPLICATION PROCESSED INCORRECTLY, APPLICATIONS DID NOT RECEIVE A CONFIRMATION REVIEW, HOUSEHOLD HAVE NOT BEEN NOTIFIED OF THE AVAILABILITY OF THE SUMMER FOOD SERVICE PROGRAM.</t>
  </si>
  <si>
    <t>NO QUESTIONS COSTS</t>
  </si>
  <si>
    <t>THE DISTRICT INCORRECTLY APPROVED 2 HOUSEHOLD ELIGIBILITY APPLICATION FOR REDUCED MEALS THAT SHOULD HAVE BEEN DENIED.  APPLICATIONS SELECTED FOR VERIFICATION DID NOT RECEIVE A CONFIRMATION REVIEW.  HOUSEHOLDS HAVE NOT BEEN NOTIFIED OF THE AVAILABILTY OF THE SUMMER FOOD SERVICE PROGRAM.</t>
  </si>
  <si>
    <t>APPLICATIONS WERE APPROVED THAT SHOULD HAVE BEEN DENIED.  HOUSEHOLDS WERE NOT AWARE OF THE SUMMER FOOD SERVICE PROGRAM.</t>
  </si>
  <si>
    <t>INADEQUATE PROCEDURES FOR HOUSEHOLD ELIGIBILITY APPLICATION APPROVAL.  INADEQUATE PROCEDURES FOR A SECOND INDIVIDUAL TO DO A CONFIRMATION REVIEW.  POLICY IS INNEFICIENT TO NOTIFY HOUSEHOLDS OF SUMMER FOOD SERVICE PROGRAM BEFORE YEAR END.</t>
  </si>
  <si>
    <t>PROCEDURES NEED TO BE IMPLEMENTED TO ENSURE PROPER APPLICATION APPROVAL.  PROCEDURES NEED TO BE IMPLEMENTED TO ENSURE APPLICATIONS RECEIVE A CONFIRMATION REVIEW.  POLICY NEEDS TO BE IMPLEMENTED TO INFORM HOUSEHOLDS ABOUT THE SUMMER FOOD PROGRAM BEFORE SCHOOL YEAR END.</t>
  </si>
  <si>
    <t>THE DISTRICT WILL IMPLEMENT PROCEDURES TO ENSURE PROPER APPLICATION APPROVAL.  THE DISTRICT WILL IMPLEMENT PROCEDURES TO ENSURE APPLICATIONS RECEIVE A CONFIRMATION REVIEW.  THE DISTRICT WILL IMPLEMENT POLICY TO INFORM HOUSEHOLDS ABOUT THE SUMMER FOOD PROGRAM BEFORE SCHOOL YEAR END.</t>
  </si>
  <si>
    <t>NONE</t>
  </si>
  <si>
    <t>TITLE IVA STUDENT SUPPORT &amp; ACADEMIC ENRICHMENT</t>
  </si>
  <si>
    <t>Carlinville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</si>
</sst>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270163</xdr:colOff>
          <xdr:row>4</xdr:row>
          <xdr:rowOff>160193</xdr:rowOff>
        </xdr:from>
        <xdr:to>
          <xdr:col>1</xdr:col>
          <xdr:colOff>1184563</xdr:colOff>
          <xdr:row>9</xdr:row>
          <xdr:rowOff>36368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E7C551FB-49B6-426E-BE5E-7221C19F19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C0000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0" t="s">
        <v>405</v>
      </c>
      <c r="J1" s="1981"/>
      <c r="K1" s="1981"/>
      <c r="L1" s="1981"/>
      <c r="M1" s="1981"/>
      <c r="N1" s="1981"/>
      <c r="O1" s="1981"/>
      <c r="P1" s="1981"/>
      <c r="Q1" s="1981"/>
      <c r="R1" s="1981"/>
      <c r="S1" s="1981"/>
    </row>
    <row r="2" spans="1:28" ht="12" customHeight="1" x14ac:dyDescent="0.2">
      <c r="A2" s="47" t="s">
        <v>1991</v>
      </c>
      <c r="D2" s="48"/>
      <c r="I2" s="1982" t="s">
        <v>979</v>
      </c>
      <c r="J2" s="1981"/>
      <c r="K2" s="1981"/>
      <c r="L2" s="1981"/>
      <c r="M2" s="1981"/>
      <c r="N2" s="1981"/>
      <c r="O2" s="1981"/>
      <c r="P2" s="1981"/>
      <c r="Q2" s="1981"/>
      <c r="R2" s="1981"/>
      <c r="S2" s="1981"/>
    </row>
    <row r="3" spans="1:28" ht="12" customHeight="1" x14ac:dyDescent="0.2">
      <c r="A3" s="155" t="s">
        <v>1943</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t="s">
        <v>2062</v>
      </c>
      <c r="C5" s="26" t="s">
        <v>910</v>
      </c>
      <c r="D5" s="84"/>
      <c r="E5" s="84"/>
      <c r="H5" s="38"/>
      <c r="I5" s="1990" t="s">
        <v>680</v>
      </c>
      <c r="J5" s="1989"/>
      <c r="K5" s="1989"/>
      <c r="L5" s="1989"/>
      <c r="M5" s="1989"/>
      <c r="N5" s="1989"/>
      <c r="O5" s="1989"/>
      <c r="P5" s="1989"/>
      <c r="Q5" s="1989"/>
      <c r="R5" s="1989"/>
      <c r="S5" s="1989"/>
    </row>
    <row r="6" spans="1:28" ht="14.1" customHeight="1" x14ac:dyDescent="0.2">
      <c r="B6" s="104"/>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t="s">
        <v>2062</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5">
        <v>40056001026</v>
      </c>
      <c r="B13" s="2016"/>
      <c r="C13" s="2016"/>
      <c r="D13" s="2016"/>
      <c r="E13" s="2016"/>
      <c r="F13" s="2016"/>
      <c r="G13" s="2016"/>
      <c r="H13" s="2017"/>
      <c r="I13" s="31"/>
      <c r="J13" s="30"/>
      <c r="K13" s="28"/>
      <c r="L13" s="30"/>
      <c r="M13" s="30"/>
      <c r="N13" s="30"/>
      <c r="O13" s="30"/>
      <c r="P13" s="30"/>
      <c r="Q13" s="30"/>
      <c r="R13" s="30"/>
      <c r="S13" s="30"/>
      <c r="T13" s="2020" t="s">
        <v>2067</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2063</v>
      </c>
      <c r="B15" s="2018"/>
      <c r="C15" s="2018"/>
      <c r="D15" s="2018"/>
      <c r="E15" s="2018"/>
      <c r="F15" s="2018"/>
      <c r="G15" s="2018"/>
      <c r="H15" s="2019"/>
      <c r="T15" s="2024" t="s">
        <v>2068</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2162</v>
      </c>
      <c r="B17" s="1975"/>
      <c r="C17" s="1975"/>
      <c r="D17" s="1975"/>
      <c r="E17" s="1975"/>
      <c r="F17" s="1975"/>
      <c r="G17" s="1975"/>
      <c r="H17" s="2000"/>
      <c r="T17" s="2031" t="s">
        <v>2069</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2064</v>
      </c>
      <c r="B19" s="1960"/>
      <c r="C19" s="1960"/>
      <c r="D19" s="1960"/>
      <c r="E19" s="1960"/>
      <c r="F19" s="1960"/>
      <c r="G19" s="1960"/>
      <c r="H19" s="1940"/>
      <c r="I19" s="30"/>
      <c r="J19" s="99"/>
      <c r="K19" s="40"/>
      <c r="L19" s="38"/>
      <c r="M19" s="112" t="s">
        <v>315</v>
      </c>
      <c r="P19" s="27"/>
      <c r="Q19" s="27"/>
      <c r="R19" s="27"/>
      <c r="S19" s="31"/>
      <c r="T19" s="2014" t="s">
        <v>2070</v>
      </c>
      <c r="U19" s="1939"/>
      <c r="V19" s="1939"/>
      <c r="W19" s="1940"/>
      <c r="X19" s="2029" t="s">
        <v>2071</v>
      </c>
      <c r="Y19" s="2030"/>
      <c r="Z19" s="2027">
        <v>62002</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2065</v>
      </c>
      <c r="B21" s="1939"/>
      <c r="C21" s="1939"/>
      <c r="D21" s="1939"/>
      <c r="E21" s="1939"/>
      <c r="F21" s="1939"/>
      <c r="G21" s="1939"/>
      <c r="H21" s="1940"/>
      <c r="I21" s="1994" t="s">
        <v>678</v>
      </c>
      <c r="J21" s="1989"/>
      <c r="K21" s="1989"/>
      <c r="L21" s="1989"/>
      <c r="M21" s="1989"/>
      <c r="N21" s="1989"/>
      <c r="O21" s="1989"/>
      <c r="P21" s="1989"/>
      <c r="Q21" s="1989"/>
      <c r="R21" s="1989"/>
      <c r="S21" s="1995"/>
      <c r="T21" s="2038" t="s">
        <v>2072</v>
      </c>
      <c r="U21" s="2039"/>
      <c r="V21" s="2039"/>
      <c r="W21" s="2039"/>
      <c r="X21" s="2044" t="s">
        <v>2073</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t="s">
        <v>2066</v>
      </c>
      <c r="B23" s="1992"/>
      <c r="C23" s="1992"/>
      <c r="D23" s="1992"/>
      <c r="E23" s="1992"/>
      <c r="F23" s="1992"/>
      <c r="G23" s="1992"/>
      <c r="H23" s="1993"/>
      <c r="T23" s="1974" t="s">
        <v>2074</v>
      </c>
      <c r="U23" s="2037"/>
      <c r="V23" s="2037"/>
      <c r="W23" s="2037"/>
      <c r="X23" s="2041">
        <v>43831</v>
      </c>
      <c r="Y23" s="2042"/>
      <c r="Z23" s="2042"/>
      <c r="AA23" s="2043"/>
    </row>
    <row r="24" spans="1:27" ht="14.1" customHeight="1" x14ac:dyDescent="0.2">
      <c r="A24" s="88" t="s">
        <v>677</v>
      </c>
      <c r="B24" s="49"/>
      <c r="C24" s="49"/>
      <c r="D24" s="49"/>
      <c r="E24" s="49"/>
      <c r="F24" s="49"/>
      <c r="G24" s="49"/>
      <c r="H24" s="61"/>
      <c r="J24" s="1961">
        <f>IF(B5="x",IF(AUDITCHECK!D29="AFR form Incomplete.","",IF(AUDITCHECK!D29="Deficit reduction plan is required.","School District must complete a deficit reduction plan in the 2019-2020 Budget",)),"")</f>
        <v>0</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62626</v>
      </c>
      <c r="B25" s="1939"/>
      <c r="C25" s="1939"/>
      <c r="D25" s="1939"/>
      <c r="E25" s="1939"/>
      <c r="F25" s="1939"/>
      <c r="G25" s="1939"/>
      <c r="H25" s="1940"/>
      <c r="I25" s="113"/>
      <c r="J25" s="1963"/>
      <c r="K25" s="1963"/>
      <c r="L25" s="1963"/>
      <c r="M25" s="1963"/>
      <c r="N25" s="1963"/>
      <c r="O25" s="1963"/>
      <c r="P25" s="1963"/>
      <c r="Q25" s="1963"/>
      <c r="R25" s="1963"/>
      <c r="S25" s="1964"/>
      <c r="T25" s="2034" t="s">
        <v>2075</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2076</v>
      </c>
      <c r="B38" s="1975"/>
      <c r="C38" s="1975"/>
      <c r="D38" s="1975"/>
      <c r="E38" s="1975"/>
      <c r="F38" s="1939"/>
      <c r="G38" s="1939"/>
      <c r="H38" s="1940"/>
      <c r="I38" s="1967"/>
      <c r="J38" s="1968"/>
      <c r="K38" s="1968"/>
      <c r="L38" s="1968"/>
      <c r="M38" s="1968"/>
      <c r="N38" s="1968"/>
      <c r="O38" s="1968"/>
      <c r="P38" s="1969"/>
      <c r="Q38" s="1969"/>
      <c r="R38" s="1969"/>
      <c r="S38" s="1970"/>
      <c r="T38" s="2024" t="s">
        <v>2079</v>
      </c>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2066</v>
      </c>
      <c r="B40" s="1953"/>
      <c r="C40" s="1954"/>
      <c r="D40" s="1954"/>
      <c r="E40" s="1954"/>
      <c r="F40" s="1955"/>
      <c r="G40" s="1955"/>
      <c r="H40" s="1956"/>
      <c r="I40" s="1977"/>
      <c r="J40" s="1978"/>
      <c r="K40" s="1978"/>
      <c r="L40" s="1978"/>
      <c r="M40" s="1978"/>
      <c r="N40" s="1978"/>
      <c r="O40" s="1978"/>
      <c r="P40" s="1978"/>
      <c r="Q40" s="1978"/>
      <c r="R40" s="1978"/>
      <c r="S40" s="1979"/>
      <c r="T40" s="1977" t="s">
        <v>2080</v>
      </c>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2077</v>
      </c>
      <c r="B42" s="1958"/>
      <c r="C42" s="1959"/>
      <c r="D42" s="1957" t="s">
        <v>2078</v>
      </c>
      <c r="E42" s="1958"/>
      <c r="F42" s="1958"/>
      <c r="G42" s="1958"/>
      <c r="H42" s="1959"/>
      <c r="I42" s="1941"/>
      <c r="J42" s="1942"/>
      <c r="K42" s="1942"/>
      <c r="L42" s="1942"/>
      <c r="M42" s="1942"/>
      <c r="N42" s="1942"/>
      <c r="O42" s="1943"/>
      <c r="P42" s="1976"/>
      <c r="Q42" s="1942"/>
      <c r="R42" s="1942"/>
      <c r="S42" s="1943"/>
      <c r="T42" s="1941" t="s">
        <v>2081</v>
      </c>
      <c r="U42" s="1942"/>
      <c r="V42" s="1942"/>
      <c r="W42" s="1943"/>
      <c r="X42" s="1976" t="s">
        <v>2082</v>
      </c>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sheetPr>
  <dimension ref="A1:F36"/>
  <sheetViews>
    <sheetView showGridLines="0" defaultGridColor="0" colorId="8" zoomScale="110" zoomScaleNormal="110" workbookViewId="0">
      <selection activeCell="D9" sqref="D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1800</v>
      </c>
      <c r="B2" s="1528" t="s">
        <v>1949</v>
      </c>
      <c r="C2" s="714" t="s">
        <v>1950</v>
      </c>
      <c r="D2" s="714" t="s">
        <v>1951</v>
      </c>
      <c r="E2" s="714" t="s">
        <v>1952</v>
      </c>
      <c r="F2" s="714" t="s">
        <v>1953</v>
      </c>
    </row>
    <row r="3" spans="1:6" ht="12" customHeight="1" x14ac:dyDescent="0.2">
      <c r="A3" s="2181"/>
      <c r="B3" s="1525"/>
      <c r="C3" s="1526"/>
      <c r="D3" s="1527" t="s">
        <v>256</v>
      </c>
      <c r="E3" s="1526"/>
      <c r="F3" s="1527" t="s">
        <v>257</v>
      </c>
    </row>
    <row r="4" spans="1:6" ht="13.7" customHeight="1" x14ac:dyDescent="0.2">
      <c r="A4" s="715" t="s">
        <v>1155</v>
      </c>
      <c r="B4" s="1749">
        <f>'Revenues 9-14'!C5</f>
        <v>3263448</v>
      </c>
      <c r="C4" s="1524"/>
      <c r="D4" s="1752">
        <f>B4-C4</f>
        <v>3263448</v>
      </c>
      <c r="E4" s="1524">
        <v>3400048</v>
      </c>
      <c r="F4" s="1752">
        <f>E4-C4</f>
        <v>3400048</v>
      </c>
    </row>
    <row r="5" spans="1:6" ht="13.7" customHeight="1" x14ac:dyDescent="0.2">
      <c r="A5" s="715" t="s">
        <v>870</v>
      </c>
      <c r="B5" s="1750">
        <f>'Revenues 9-14'!D5</f>
        <v>757588</v>
      </c>
      <c r="C5" s="585"/>
      <c r="D5" s="1753">
        <f t="shared" ref="D5:D18" si="0">B5-C5</f>
        <v>757588</v>
      </c>
      <c r="E5" s="585">
        <v>783875</v>
      </c>
      <c r="F5" s="1753">
        <f>E5-C5</f>
        <v>783875</v>
      </c>
    </row>
    <row r="6" spans="1:6" ht="13.7" customHeight="1" x14ac:dyDescent="0.2">
      <c r="A6" s="715" t="s">
        <v>411</v>
      </c>
      <c r="B6" s="1750">
        <f>'Revenues 9-14'!E5</f>
        <v>990933</v>
      </c>
      <c r="C6" s="585"/>
      <c r="D6" s="1753">
        <f t="shared" si="0"/>
        <v>990933</v>
      </c>
      <c r="E6" s="585">
        <v>1047535</v>
      </c>
      <c r="F6" s="1753">
        <f t="shared" ref="F6:F18" si="1">E6-C6</f>
        <v>1047535</v>
      </c>
    </row>
    <row r="7" spans="1:6" ht="13.7" customHeight="1" x14ac:dyDescent="0.2">
      <c r="A7" s="715" t="s">
        <v>155</v>
      </c>
      <c r="B7" s="1750">
        <f>'Revenues 9-14'!F5</f>
        <v>317121</v>
      </c>
      <c r="C7" s="585"/>
      <c r="D7" s="1753">
        <f t="shared" si="0"/>
        <v>317121</v>
      </c>
      <c r="E7" s="585">
        <v>333155</v>
      </c>
      <c r="F7" s="1753">
        <f t="shared" si="1"/>
        <v>333155</v>
      </c>
    </row>
    <row r="8" spans="1:6" ht="13.7" customHeight="1" x14ac:dyDescent="0.2">
      <c r="A8" s="715" t="s">
        <v>1179</v>
      </c>
      <c r="B8" s="1750">
        <f>'Revenues 9-14'!G5</f>
        <v>155496</v>
      </c>
      <c r="C8" s="585"/>
      <c r="D8" s="1753">
        <f t="shared" si="0"/>
        <v>155496</v>
      </c>
      <c r="E8" s="585">
        <v>142083</v>
      </c>
      <c r="F8" s="1753">
        <f t="shared" si="1"/>
        <v>142083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5338</v>
      </c>
      <c r="C10" s="585"/>
      <c r="D10" s="1753">
        <f t="shared" si="0"/>
        <v>5338</v>
      </c>
      <c r="E10" s="585">
        <v>4901</v>
      </c>
      <c r="F10" s="1753">
        <f t="shared" si="1"/>
        <v>4901</v>
      </c>
    </row>
    <row r="11" spans="1:6" x14ac:dyDescent="0.2">
      <c r="A11" s="715" t="s">
        <v>409</v>
      </c>
      <c r="B11" s="1750">
        <f>'Revenues 9-14'!J5</f>
        <v>48568</v>
      </c>
      <c r="C11" s="585"/>
      <c r="D11" s="1753">
        <f t="shared" si="0"/>
        <v>48568</v>
      </c>
      <c r="E11" s="585">
        <v>14702</v>
      </c>
      <c r="F11" s="1753">
        <f t="shared" si="1"/>
        <v>14702</v>
      </c>
    </row>
    <row r="12" spans="1:6" ht="13.7" customHeight="1" x14ac:dyDescent="0.2">
      <c r="A12" s="715" t="s">
        <v>157</v>
      </c>
      <c r="B12" s="1750">
        <f>'Revenues 9-14'!K5</f>
        <v>48568</v>
      </c>
      <c r="C12" s="585"/>
      <c r="D12" s="1753">
        <f t="shared" si="0"/>
        <v>48568</v>
      </c>
      <c r="E12" s="585">
        <v>78376</v>
      </c>
      <c r="F12" s="1753">
        <f t="shared" si="1"/>
        <v>78376</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118488</v>
      </c>
      <c r="C14" s="585"/>
      <c r="D14" s="1753">
        <f t="shared" si="0"/>
        <v>118488</v>
      </c>
      <c r="E14" s="585">
        <v>122481</v>
      </c>
      <c r="F14" s="1753">
        <f t="shared" si="1"/>
        <v>122481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213188</v>
      </c>
      <c r="C16" s="585"/>
      <c r="D16" s="1753">
        <f t="shared" si="0"/>
        <v>213188</v>
      </c>
      <c r="E16" s="585">
        <v>210674</v>
      </c>
      <c r="F16" s="1753">
        <f t="shared" si="1"/>
        <v>210674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5918736</v>
      </c>
      <c r="C19" s="1751">
        <f>SUM(C4:C18)</f>
        <v>0</v>
      </c>
      <c r="D19" s="1751">
        <f>SUM(D4:D18)</f>
        <v>5918736</v>
      </c>
      <c r="E19" s="1751">
        <f>SUM(E4:E18)</f>
        <v>6137830</v>
      </c>
      <c r="F19" s="1751">
        <f>SUM(F4:F18)</f>
        <v>6137830</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1:K59"/>
  <sheetViews>
    <sheetView showGridLines="0" defaultGridColor="0" topLeftCell="A16" colorId="8" zoomScale="110" zoomScaleNormal="110" workbookViewId="0">
      <selection activeCell="I31" sqref="I31:I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1800</v>
      </c>
      <c r="B2" s="2208"/>
      <c r="C2" s="1884" t="s">
        <v>1954</v>
      </c>
      <c r="D2" s="723" t="s">
        <v>1955</v>
      </c>
      <c r="E2" s="723" t="s">
        <v>1956</v>
      </c>
      <c r="F2" s="1884" t="s">
        <v>1957</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1909</v>
      </c>
      <c r="H30" s="1885" t="s">
        <v>1960</v>
      </c>
      <c r="I30" s="1885" t="s">
        <v>1961</v>
      </c>
      <c r="J30" s="1886" t="s">
        <v>2</v>
      </c>
      <c r="K30" s="731"/>
    </row>
    <row r="31" spans="1:11" ht="12" customHeight="1" x14ac:dyDescent="0.2">
      <c r="A31" s="732" t="s">
        <v>2084</v>
      </c>
      <c r="B31" s="733">
        <v>42547</v>
      </c>
      <c r="C31" s="734">
        <v>2000000</v>
      </c>
      <c r="D31" s="735">
        <v>1</v>
      </c>
      <c r="E31" s="734">
        <v>1471000</v>
      </c>
      <c r="F31" s="734"/>
      <c r="G31" s="734"/>
      <c r="H31" s="734">
        <v>972000</v>
      </c>
      <c r="I31" s="1756">
        <f>((E31+F31)-H31)+G31</f>
        <v>499000</v>
      </c>
      <c r="J31" s="734">
        <f>-141357+499000</f>
        <v>357643</v>
      </c>
      <c r="K31" s="736"/>
    </row>
    <row r="32" spans="1:11" ht="12" customHeight="1" x14ac:dyDescent="0.2">
      <c r="A32" s="732" t="s">
        <v>2085</v>
      </c>
      <c r="B32" s="733">
        <v>43282</v>
      </c>
      <c r="C32" s="734">
        <v>2390000</v>
      </c>
      <c r="D32" s="735">
        <v>1</v>
      </c>
      <c r="E32" s="734">
        <v>2390000</v>
      </c>
      <c r="F32" s="734"/>
      <c r="G32" s="734"/>
      <c r="H32" s="734"/>
      <c r="I32" s="1756">
        <f>((E32+F32)-H32)+G32</f>
        <v>2390000</v>
      </c>
      <c r="J32" s="734">
        <v>2390000</v>
      </c>
      <c r="K32" s="736"/>
    </row>
    <row r="33" spans="1:11" ht="12" customHeight="1" x14ac:dyDescent="0.2">
      <c r="A33" s="732" t="s">
        <v>2086</v>
      </c>
      <c r="B33" s="733">
        <v>43333</v>
      </c>
      <c r="C33" s="734">
        <v>47784</v>
      </c>
      <c r="D33" s="735">
        <v>7</v>
      </c>
      <c r="E33" s="734"/>
      <c r="F33" s="734">
        <v>47784</v>
      </c>
      <c r="G33" s="734"/>
      <c r="H33" s="734">
        <v>5563</v>
      </c>
      <c r="I33" s="1756">
        <f t="shared" ref="I33:I48" si="1">((E33+F33)-H33)+G33</f>
        <v>42221</v>
      </c>
      <c r="J33" s="734">
        <v>42221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4437784</v>
      </c>
      <c r="D49" s="745"/>
      <c r="E49" s="1756">
        <f t="shared" ref="E49:J49" si="2">SUM(E31:E48)</f>
        <v>3861000</v>
      </c>
      <c r="F49" s="1756">
        <f t="shared" si="2"/>
        <v>47784</v>
      </c>
      <c r="G49" s="1756">
        <f t="shared" si="2"/>
        <v>0</v>
      </c>
      <c r="H49" s="1756">
        <f t="shared" si="2"/>
        <v>977563</v>
      </c>
      <c r="I49" s="1756">
        <f t="shared" si="2"/>
        <v>2931221</v>
      </c>
      <c r="J49" s="1756">
        <f t="shared" si="2"/>
        <v>2789864</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t="s">
        <v>2087</v>
      </c>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C00000"/>
  </sheetPr>
  <dimension ref="A1:K48"/>
  <sheetViews>
    <sheetView showGridLines="0" defaultGridColor="0" topLeftCell="A31"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1810</v>
      </c>
      <c r="K2" s="762" t="s">
        <v>138</v>
      </c>
    </row>
    <row r="3" spans="1:11" x14ac:dyDescent="0.2">
      <c r="A3" s="2233" t="s">
        <v>1962</v>
      </c>
      <c r="B3" s="2234"/>
      <c r="C3" s="2234"/>
      <c r="D3" s="2234"/>
      <c r="E3" s="2235"/>
      <c r="F3" s="763"/>
      <c r="G3" s="764"/>
      <c r="H3" s="764"/>
      <c r="I3" s="764"/>
      <c r="J3" s="765">
        <v>564874</v>
      </c>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v>118488</v>
      </c>
      <c r="I5" s="772"/>
      <c r="J5" s="773"/>
      <c r="K5" s="773"/>
    </row>
    <row r="6" spans="1:11" x14ac:dyDescent="0.2">
      <c r="A6" s="774" t="s">
        <v>720</v>
      </c>
      <c r="B6" s="775"/>
      <c r="C6" s="775"/>
      <c r="D6" s="775"/>
      <c r="E6" s="776"/>
      <c r="F6" s="777" t="s">
        <v>849</v>
      </c>
      <c r="G6" s="764"/>
      <c r="H6" s="764"/>
      <c r="I6" s="764"/>
      <c r="J6" s="765">
        <v>10218</v>
      </c>
      <c r="K6" s="765"/>
    </row>
    <row r="7" spans="1:11" x14ac:dyDescent="0.2">
      <c r="A7" s="778" t="s">
        <v>246</v>
      </c>
      <c r="B7" s="779"/>
      <c r="C7" s="779"/>
      <c r="D7" s="779"/>
      <c r="E7" s="780"/>
      <c r="F7" s="770" t="s">
        <v>850</v>
      </c>
      <c r="G7" s="767"/>
      <c r="H7" s="767"/>
      <c r="I7" s="767"/>
      <c r="J7" s="781"/>
      <c r="K7" s="765">
        <v>10950</v>
      </c>
    </row>
    <row r="8" spans="1:11" x14ac:dyDescent="0.2">
      <c r="A8" s="778" t="s">
        <v>345</v>
      </c>
      <c r="B8" s="779"/>
      <c r="C8" s="779"/>
      <c r="D8" s="779"/>
      <c r="E8" s="780"/>
      <c r="F8" s="770" t="s">
        <v>851</v>
      </c>
      <c r="G8" s="782"/>
      <c r="H8" s="782"/>
      <c r="I8" s="782"/>
      <c r="J8" s="765">
        <v>429831</v>
      </c>
      <c r="K8" s="769"/>
    </row>
    <row r="9" spans="1:11" x14ac:dyDescent="0.2">
      <c r="A9" s="778" t="s">
        <v>138</v>
      </c>
      <c r="B9" s="779"/>
      <c r="C9" s="779"/>
      <c r="D9" s="779"/>
      <c r="E9" s="780"/>
      <c r="F9" s="777" t="s">
        <v>853</v>
      </c>
      <c r="G9" s="782"/>
      <c r="H9" s="771"/>
      <c r="I9" s="771"/>
      <c r="J9" s="781"/>
      <c r="K9" s="765"/>
    </row>
    <row r="10" spans="1:11" x14ac:dyDescent="0.2">
      <c r="A10" s="2214" t="s">
        <v>1811</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118488</v>
      </c>
      <c r="I12" s="1758">
        <f>SUM(I5:I11)</f>
        <v>0</v>
      </c>
      <c r="J12" s="1758">
        <f>SUM(J5:J11)</f>
        <v>440049</v>
      </c>
      <c r="K12" s="1758">
        <f>SUM(K5:K11)</f>
        <v>10950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v>118488</v>
      </c>
      <c r="I14" s="771"/>
      <c r="J14" s="773"/>
      <c r="K14" s="765">
        <v>10950</v>
      </c>
    </row>
    <row r="15" spans="1:11" x14ac:dyDescent="0.2">
      <c r="A15" s="2215" t="s">
        <v>4</v>
      </c>
      <c r="B15" s="2215"/>
      <c r="C15" s="2215"/>
      <c r="D15" s="2215"/>
      <c r="E15" s="2216"/>
      <c r="F15" s="789" t="s">
        <v>855</v>
      </c>
      <c r="G15" s="771"/>
      <c r="H15" s="764"/>
      <c r="I15" s="764"/>
      <c r="J15" s="765">
        <v>326037</v>
      </c>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1807</v>
      </c>
      <c r="B19" s="2223"/>
      <c r="C19" s="2223"/>
      <c r="D19" s="2223"/>
      <c r="E19" s="2224"/>
      <c r="F19" s="789" t="s">
        <v>933</v>
      </c>
      <c r="G19" s="782"/>
      <c r="H19" s="782"/>
      <c r="I19" s="782"/>
      <c r="J19" s="765"/>
      <c r="K19" s="795"/>
    </row>
    <row r="20" spans="1:11" x14ac:dyDescent="0.2">
      <c r="A20" s="2225" t="s">
        <v>1812</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1813</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118488</v>
      </c>
      <c r="I23" s="1758">
        <f>SUM(I14:I16,I21,I22)</f>
        <v>0</v>
      </c>
      <c r="J23" s="1758">
        <f>SUM(J14:J16,J21,J22)</f>
        <v>326037</v>
      </c>
      <c r="K23" s="1758">
        <f>SUM(K14:K16,K21,K22)</f>
        <v>10950</v>
      </c>
    </row>
    <row r="24" spans="1:11" ht="14.25" thickTop="1" thickBot="1" x14ac:dyDescent="0.25">
      <c r="A24" s="2245" t="s">
        <v>1963</v>
      </c>
      <c r="B24" s="2244"/>
      <c r="C24" s="2244"/>
      <c r="D24" s="2244"/>
      <c r="E24" s="2244"/>
      <c r="F24" s="1762"/>
      <c r="G24" s="1763">
        <f>SUM(G3,G12)-G23</f>
        <v>0</v>
      </c>
      <c r="H24" s="1763">
        <f>SUM(H3,H12)-H23</f>
        <v>0</v>
      </c>
      <c r="I24" s="1763">
        <f>SUM(I3,I12)-I23</f>
        <v>0</v>
      </c>
      <c r="J24" s="1763">
        <f>SUM(J3,J12)-J23</f>
        <v>678886</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678886</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C00000"/>
  </sheetPr>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1907</v>
      </c>
      <c r="B1" s="2251"/>
      <c r="C1" s="2252"/>
      <c r="D1" s="826"/>
      <c r="E1" s="827"/>
      <c r="F1" s="827"/>
      <c r="G1" s="828"/>
      <c r="H1" s="829"/>
      <c r="I1" s="830"/>
      <c r="J1" s="2248"/>
      <c r="K1" s="2249"/>
      <c r="L1" s="224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170329</v>
      </c>
      <c r="D5" s="841"/>
      <c r="E5" s="841"/>
      <c r="F5" s="1760">
        <f>(C5+D5)-E5</f>
        <v>170329</v>
      </c>
      <c r="G5" s="837"/>
      <c r="H5" s="842"/>
      <c r="I5" s="842"/>
      <c r="J5" s="842"/>
      <c r="K5" s="793"/>
      <c r="L5" s="1769">
        <f>F5-K5</f>
        <v>170329</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25843044</v>
      </c>
      <c r="D8" s="844">
        <f>417008+1</f>
        <v>417009</v>
      </c>
      <c r="E8" s="844"/>
      <c r="F8" s="1760">
        <f>(C8+D8)-E8</f>
        <v>26260053</v>
      </c>
      <c r="G8" s="843">
        <v>50</v>
      </c>
      <c r="H8" s="765">
        <v>10731220</v>
      </c>
      <c r="I8" s="765">
        <v>312442</v>
      </c>
      <c r="J8" s="765"/>
      <c r="K8" s="1769">
        <f>(H8+I8)-J8</f>
        <v>11043662</v>
      </c>
      <c r="L8" s="1769">
        <f>F8-K8</f>
        <v>15216391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181682</v>
      </c>
      <c r="D10" s="846"/>
      <c r="E10" s="846"/>
      <c r="F10" s="1764">
        <f>(C10+D10)-E10</f>
        <v>181682</v>
      </c>
      <c r="G10" s="843">
        <v>20</v>
      </c>
      <c r="H10" s="847">
        <v>181682</v>
      </c>
      <c r="I10" s="847"/>
      <c r="J10" s="847"/>
      <c r="K10" s="1769">
        <f>(H10+I10)-J10</f>
        <v>181682</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4125627</v>
      </c>
      <c r="D12" s="844">
        <v>92124</v>
      </c>
      <c r="E12" s="844"/>
      <c r="F12" s="1760">
        <f>(C12+D12)-E12</f>
        <v>4217751</v>
      </c>
      <c r="G12" s="843">
        <v>10</v>
      </c>
      <c r="H12" s="765">
        <v>3467956</v>
      </c>
      <c r="I12" s="765">
        <v>70373</v>
      </c>
      <c r="J12" s="765"/>
      <c r="K12" s="1769">
        <f>(H12+I12)-J12</f>
        <v>3538329</v>
      </c>
      <c r="L12" s="1769">
        <f>F12-K12</f>
        <v>679422</v>
      </c>
    </row>
    <row r="13" spans="1:14" ht="14.25" thickTop="1" thickBot="1" x14ac:dyDescent="0.25">
      <c r="A13" s="848" t="s">
        <v>1122</v>
      </c>
      <c r="B13" s="840">
        <v>252</v>
      </c>
      <c r="C13" s="844">
        <v>2751768</v>
      </c>
      <c r="D13" s="844">
        <v>157472</v>
      </c>
      <c r="E13" s="844"/>
      <c r="F13" s="1760">
        <f>(C13+D13)-E13</f>
        <v>2909240</v>
      </c>
      <c r="G13" s="843">
        <v>5</v>
      </c>
      <c r="H13" s="765">
        <v>2586352</v>
      </c>
      <c r="I13" s="765">
        <v>120221</v>
      </c>
      <c r="J13" s="765"/>
      <c r="K13" s="1769">
        <f>(H13+I13)-J13</f>
        <v>2706573</v>
      </c>
      <c r="L13" s="1769">
        <f>F13-K13</f>
        <v>202667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33072450</v>
      </c>
      <c r="D16" s="1760">
        <f>SUM(D3,D5:D6,D8:D10,D12:D15)</f>
        <v>666605</v>
      </c>
      <c r="E16" s="1760">
        <f>SUM(E3,E5:E6,E8:E10,E12:E15)</f>
        <v>0</v>
      </c>
      <c r="F16" s="1760">
        <f>SUM(F3,F5:F6,F8:F10,F12:F15)</f>
        <v>33739055</v>
      </c>
      <c r="G16" s="843"/>
      <c r="H16" s="1760">
        <f>SUM(H3,H6,H8:H10,H12:H14,)</f>
        <v>16967210</v>
      </c>
      <c r="I16" s="1760">
        <f>SUM(I3,I6,I8:I10,I12:I14,)</f>
        <v>503036</v>
      </c>
      <c r="J16" s="1760">
        <f>SUM(J3,J6,J8:J10,J12:J14,)</f>
        <v>0</v>
      </c>
      <c r="K16" s="1760">
        <f>(H16+I16)-J16</f>
        <v>17470246</v>
      </c>
      <c r="L16" s="1760">
        <f>F16-K16</f>
        <v>16268809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503036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C00000"/>
  </sheetPr>
  <dimension ref="A1:H202"/>
  <sheetViews>
    <sheetView showGridLines="0" defaultGridColor="0" colorId="8" zoomScale="110" zoomScaleNormal="110" workbookViewId="0">
      <pane ySplit="5" topLeftCell="A169" activePane="bottomLeft" state="frozen"/>
      <selection activeCell="A47" sqref="A47"/>
      <selection pane="bottomLeft" activeCell="E175" sqref="E17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1973</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9987944</v>
      </c>
      <c r="G8" s="865"/>
    </row>
    <row r="9" spans="1:7" x14ac:dyDescent="0.2">
      <c r="A9" s="869" t="s">
        <v>460</v>
      </c>
      <c r="B9" s="870" t="s">
        <v>1875</v>
      </c>
      <c r="C9" s="871"/>
      <c r="D9" s="869" t="s">
        <v>501</v>
      </c>
      <c r="E9" s="868"/>
      <c r="F9" s="1909">
        <f>'Expenditures 15-22'!K151</f>
        <v>1056934</v>
      </c>
      <c r="G9" s="872"/>
    </row>
    <row r="10" spans="1:7" x14ac:dyDescent="0.2">
      <c r="A10" s="869" t="s">
        <v>499</v>
      </c>
      <c r="B10" s="870" t="s">
        <v>1876</v>
      </c>
      <c r="C10" s="871"/>
      <c r="D10" s="869" t="s">
        <v>501</v>
      </c>
      <c r="E10" s="868"/>
      <c r="F10" s="1909">
        <f>'Expenditures 15-22'!K174</f>
        <v>1004657</v>
      </c>
      <c r="G10" s="872"/>
    </row>
    <row r="11" spans="1:7" x14ac:dyDescent="0.2">
      <c r="A11" s="869" t="s">
        <v>461</v>
      </c>
      <c r="B11" s="870" t="s">
        <v>1877</v>
      </c>
      <c r="C11" s="871"/>
      <c r="D11" s="869" t="s">
        <v>501</v>
      </c>
      <c r="E11" s="868"/>
      <c r="F11" s="1909">
        <f>'Expenditures 15-22'!K210</f>
        <v>753732</v>
      </c>
      <c r="G11" s="872"/>
    </row>
    <row r="12" spans="1:7" x14ac:dyDescent="0.2">
      <c r="A12" s="869" t="s">
        <v>462</v>
      </c>
      <c r="B12" s="870" t="s">
        <v>1878</v>
      </c>
      <c r="C12" s="871"/>
      <c r="D12" s="869" t="s">
        <v>501</v>
      </c>
      <c r="E12" s="868"/>
      <c r="F12" s="1909">
        <f>'Expenditures 15-22'!K295</f>
        <v>377680</v>
      </c>
      <c r="G12" s="872"/>
    </row>
    <row r="13" spans="1:7" x14ac:dyDescent="0.2">
      <c r="A13" s="869" t="s">
        <v>106</v>
      </c>
      <c r="B13" s="870" t="s">
        <v>1879</v>
      </c>
      <c r="C13" s="871"/>
      <c r="D13" s="869" t="s">
        <v>501</v>
      </c>
      <c r="E13" s="868"/>
      <c r="F13" s="1909">
        <f>'Expenditures 15-22'!K342</f>
        <v>235128</v>
      </c>
      <c r="G13" s="873"/>
    </row>
    <row r="14" spans="1:7" ht="12" customHeight="1" thickBot="1" x14ac:dyDescent="0.25">
      <c r="A14" s="1770"/>
      <c r="B14" s="1771"/>
      <c r="C14" s="1772"/>
      <c r="D14" s="1773" t="s">
        <v>501</v>
      </c>
      <c r="E14" s="1774" t="s">
        <v>958</v>
      </c>
      <c r="F14" s="1775">
        <f>SUM(F8:F13)</f>
        <v>13416075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155219</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124016</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4024</v>
      </c>
      <c r="G52" s="865"/>
    </row>
    <row r="53" spans="1:7" x14ac:dyDescent="0.2">
      <c r="A53" s="869" t="s">
        <v>459</v>
      </c>
      <c r="B53" s="869" t="s">
        <v>1475</v>
      </c>
      <c r="C53" s="889">
        <f>'Expenditures 15-22'!B102</f>
        <v>4000</v>
      </c>
      <c r="D53" s="888" t="str">
        <f>'Expenditures 15-22'!A102</f>
        <v>Total Payments to Other Govt Units</v>
      </c>
      <c r="E53" s="868"/>
      <c r="F53" s="1913">
        <f>'Expenditures 15-22'!K102</f>
        <v>1529792</v>
      </c>
      <c r="G53" s="865"/>
    </row>
    <row r="54" spans="1:7" x14ac:dyDescent="0.2">
      <c r="A54" s="869" t="s">
        <v>459</v>
      </c>
      <c r="B54" s="869" t="s">
        <v>1476</v>
      </c>
      <c r="C54" s="889" t="s">
        <v>982</v>
      </c>
      <c r="D54" s="885" t="s">
        <v>1095</v>
      </c>
      <c r="E54" s="868"/>
      <c r="F54" s="1913">
        <f>'Expenditures 15-22'!G114</f>
        <v>93659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5414</v>
      </c>
      <c r="G58" s="865"/>
    </row>
    <row r="59" spans="1:7" x14ac:dyDescent="0.2">
      <c r="A59" s="893" t="s">
        <v>460</v>
      </c>
      <c r="B59" s="856" t="s">
        <v>1882</v>
      </c>
      <c r="C59" s="894" t="s">
        <v>982</v>
      </c>
      <c r="D59" s="856" t="s">
        <v>291</v>
      </c>
      <c r="F59" s="1916">
        <f>'Expenditures 15-22'!I151</f>
        <v>0</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977563</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0</v>
      </c>
      <c r="G64" s="865"/>
    </row>
    <row r="65" spans="1:8" x14ac:dyDescent="0.2">
      <c r="A65" s="869" t="s">
        <v>461</v>
      </c>
      <c r="B65" s="869" t="s">
        <v>1888</v>
      </c>
      <c r="C65" s="886" t="s">
        <v>982</v>
      </c>
      <c r="D65" s="885" t="s">
        <v>1095</v>
      </c>
      <c r="E65" s="868"/>
      <c r="F65" s="1913">
        <f>'Expenditures 15-22'!G210</f>
        <v>157472</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3919</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0</v>
      </c>
      <c r="G71" s="865"/>
    </row>
    <row r="72" spans="1:8" x14ac:dyDescent="0.2">
      <c r="A72" s="869" t="s">
        <v>462</v>
      </c>
      <c r="B72" s="869" t="s">
        <v>1894</v>
      </c>
      <c r="C72" s="886">
        <f>'Expenditures 15-22'!B280</f>
        <v>3000</v>
      </c>
      <c r="D72" s="876" t="s">
        <v>449</v>
      </c>
      <c r="E72" s="868"/>
      <c r="F72" s="1913">
        <f>'Expenditures 15-22'!K280</f>
        <v>96</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3051174</v>
      </c>
      <c r="G76" s="865"/>
    </row>
    <row r="77" spans="1:8" s="893" customFormat="1" ht="12" customHeight="1" thickTop="1" thickBot="1" x14ac:dyDescent="0.25">
      <c r="A77" s="1779"/>
      <c r="B77" s="1776"/>
      <c r="C77" s="1772"/>
      <c r="D77" s="1777" t="s">
        <v>1898</v>
      </c>
      <c r="E77" s="1774"/>
      <c r="F77" s="1780">
        <f>(F14-F76)</f>
        <v>10364901</v>
      </c>
      <c r="G77" s="869"/>
    </row>
    <row r="78" spans="1:8" s="893" customFormat="1" ht="12" customHeight="1" thickTop="1" x14ac:dyDescent="0.2">
      <c r="A78" s="1781"/>
      <c r="B78" s="1776"/>
      <c r="C78" s="1772"/>
      <c r="D78" s="1777" t="s">
        <v>2060</v>
      </c>
      <c r="E78" s="1774"/>
      <c r="F78" s="898">
        <v>1340.01</v>
      </c>
      <c r="G78" s="899"/>
      <c r="H78" s="869"/>
    </row>
    <row r="79" spans="1:8" s="893" customFormat="1" ht="12" customHeight="1" thickBot="1" x14ac:dyDescent="0.25">
      <c r="A79" s="1782"/>
      <c r="B79" s="1776"/>
      <c r="C79" s="1772"/>
      <c r="D79" s="1777" t="s">
        <v>1899</v>
      </c>
      <c r="E79" s="1774" t="s">
        <v>958</v>
      </c>
      <c r="F79" s="1783">
        <f>IF(F78&gt;0,F77/F78," Complete Line 78")</f>
        <v>7734.9430228132624</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2963</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4132</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198692</v>
      </c>
      <c r="G94" s="912"/>
    </row>
    <row r="95" spans="1:7" x14ac:dyDescent="0.2">
      <c r="A95" s="908" t="s">
        <v>140</v>
      </c>
      <c r="B95" s="908" t="s">
        <v>175</v>
      </c>
      <c r="C95" s="910">
        <v>1700</v>
      </c>
      <c r="D95" s="918" t="str">
        <f>'Revenues 9-14'!A82</f>
        <v>Total District/School Activity Income</v>
      </c>
      <c r="E95" s="906"/>
      <c r="F95" s="1789">
        <f>SUM('Revenues 9-14'!C82,'Revenues 9-14'!D82)</f>
        <v>151116</v>
      </c>
      <c r="G95" s="912"/>
    </row>
    <row r="96" spans="1:7" x14ac:dyDescent="0.2">
      <c r="A96" s="908" t="s">
        <v>459</v>
      </c>
      <c r="B96" s="908" t="s">
        <v>176</v>
      </c>
      <c r="C96" s="910">
        <f>'Revenues 9-14'!B84</f>
        <v>1811</v>
      </c>
      <c r="D96" s="911" t="str">
        <f>'Revenues 9-14'!A84</f>
        <v>Rentals - Regular Textbooks</v>
      </c>
      <c r="E96" s="906"/>
      <c r="F96" s="1789">
        <f>'Revenues 9-14'!C84</f>
        <v>91779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25358</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76158</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20869</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5641</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21388</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372863</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87835</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3699</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306753</v>
      </c>
      <c r="G125" s="930"/>
    </row>
    <row r="126" spans="1:7" x14ac:dyDescent="0.2">
      <c r="A126" s="927" t="s">
        <v>668</v>
      </c>
      <c r="B126" s="927" t="s">
        <v>2022</v>
      </c>
      <c r="C126" s="932">
        <v>4300</v>
      </c>
      <c r="D126" s="933" t="str">
        <f>'Revenues 9-14'!A204</f>
        <v>Total Title I</v>
      </c>
      <c r="E126" s="906"/>
      <c r="F126" s="1789">
        <f>SUM('Revenues 9-14'!C204,'Revenues 9-14'!D204,'Revenues 9-14'!F204,'Revenues 9-14'!G204)</f>
        <v>307763</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6364</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23657</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49635</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9506</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23682</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242252.56</v>
      </c>
      <c r="G171" s="927"/>
    </row>
    <row r="172" spans="1:7" x14ac:dyDescent="0.2">
      <c r="A172" s="1918" t="s">
        <v>664</v>
      </c>
      <c r="B172" s="1919" t="s">
        <v>1918</v>
      </c>
      <c r="C172" s="1920">
        <v>3300</v>
      </c>
      <c r="D172" s="1921" t="s">
        <v>1921</v>
      </c>
      <c r="E172" s="906"/>
      <c r="F172" s="1906">
        <v>325.89</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2032431.45</v>
      </c>
    </row>
    <row r="175" spans="1:7" ht="12" customHeight="1" x14ac:dyDescent="0.2">
      <c r="A175" s="1770"/>
      <c r="B175" s="1784"/>
      <c r="C175" s="1785"/>
      <c r="D175" s="1786" t="s">
        <v>2055</v>
      </c>
      <c r="E175" s="1787"/>
      <c r="F175" s="1789">
        <f>'PCTC-OEPP 27-28'!F77-F174</f>
        <v>8332469.5499999998</v>
      </c>
    </row>
    <row r="176" spans="1:7" ht="12" customHeight="1" x14ac:dyDescent="0.2">
      <c r="A176" s="1770"/>
      <c r="B176" s="1784"/>
      <c r="C176" s="1785"/>
      <c r="D176" s="1786" t="s">
        <v>1815</v>
      </c>
      <c r="E176" s="1787"/>
      <c r="F176" s="1789">
        <f>'Cap Outlay Deprec 26'!I18</f>
        <v>503036</v>
      </c>
    </row>
    <row r="177" spans="1:7" ht="12" customHeight="1" x14ac:dyDescent="0.2">
      <c r="A177" s="1770"/>
      <c r="B177" s="1784"/>
      <c r="C177" s="1785"/>
      <c r="D177" s="1786" t="s">
        <v>2056</v>
      </c>
      <c r="E177" s="1787"/>
      <c r="F177" s="1789">
        <f>F175+F176</f>
        <v>8835505.5500000007</v>
      </c>
    </row>
    <row r="178" spans="1:7" ht="12" customHeight="1" x14ac:dyDescent="0.2">
      <c r="A178" s="1770"/>
      <c r="B178" s="1790"/>
      <c r="C178" s="1785"/>
      <c r="D178" s="1786" t="str">
        <f>D78</f>
        <v>9 Month ADA from District Average Daily Attendance/Prior General State Aid Inquiry 2018-2019</v>
      </c>
      <c r="E178" s="1787"/>
      <c r="F178" s="1791">
        <f>'PCTC-OEPP 27-28'!F78</f>
        <v>1340.01</v>
      </c>
      <c r="G178" s="930"/>
    </row>
    <row r="179" spans="1:7" ht="12" customHeight="1" thickBot="1" x14ac:dyDescent="0.25">
      <c r="A179" s="1770"/>
      <c r="B179" s="1790"/>
      <c r="C179" s="1785"/>
      <c r="D179" s="1786" t="s">
        <v>2057</v>
      </c>
      <c r="E179" s="1787" t="s">
        <v>1545</v>
      </c>
      <c r="F179" s="1792">
        <f>F177/F178</f>
        <v>6593.6116521518506</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pageSetUpPr fitToPage="1"/>
  </sheetPr>
  <dimension ref="A1:H141"/>
  <sheetViews>
    <sheetView showGridLines="0" topLeftCell="A4"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1816</v>
      </c>
      <c r="B4" s="2268"/>
      <c r="C4" s="2268"/>
      <c r="D4" s="2268"/>
      <c r="E4" s="2268"/>
      <c r="F4" s="2268"/>
      <c r="G4" s="2269"/>
    </row>
    <row r="5" spans="1:7" x14ac:dyDescent="0.25">
      <c r="A5" s="2270"/>
      <c r="B5" s="2271"/>
      <c r="C5" s="2271"/>
      <c r="D5" s="2271"/>
      <c r="E5" s="2271"/>
      <c r="F5" s="2271"/>
      <c r="G5" s="2272"/>
    </row>
    <row r="6" spans="1:7" ht="18.75" x14ac:dyDescent="0.25">
      <c r="A6" s="1534" t="s">
        <v>1817</v>
      </c>
      <c r="B6" s="1535"/>
      <c r="C6" s="1535"/>
      <c r="D6" s="1535"/>
      <c r="E6" s="1535"/>
      <c r="F6" s="1535"/>
      <c r="G6" s="1536"/>
    </row>
    <row r="7" spans="1:7" ht="30.75" customHeight="1" x14ac:dyDescent="0.25">
      <c r="A7" s="2273" t="s">
        <v>1930</v>
      </c>
      <c r="B7" s="2274"/>
      <c r="C7" s="2274"/>
      <c r="D7" s="2274"/>
      <c r="E7" s="2274"/>
      <c r="F7" s="2274"/>
      <c r="G7" s="2275"/>
    </row>
    <row r="8" spans="1:7" ht="15.75" customHeight="1" x14ac:dyDescent="0.25">
      <c r="A8" s="2276" t="s">
        <v>1905</v>
      </c>
      <c r="B8" s="2277"/>
      <c r="C8" s="2277"/>
      <c r="D8" s="2277"/>
      <c r="E8" s="2277"/>
      <c r="F8" s="2277"/>
      <c r="G8" s="2278"/>
    </row>
    <row r="9" spans="1:7" ht="35.25" customHeight="1" x14ac:dyDescent="0.25">
      <c r="A9" s="2273" t="s">
        <v>1933</v>
      </c>
      <c r="B9" s="2274"/>
      <c r="C9" s="2274"/>
      <c r="D9" s="2274"/>
      <c r="E9" s="2274"/>
      <c r="F9" s="2274"/>
      <c r="G9" s="2275"/>
    </row>
    <row r="10" spans="1:7" ht="15" customHeight="1" x14ac:dyDescent="0.25">
      <c r="A10" s="1537" t="s">
        <v>1818</v>
      </c>
      <c r="B10" s="1538"/>
      <c r="C10" s="1538"/>
      <c r="D10" s="1538"/>
      <c r="E10" s="1538"/>
      <c r="F10" s="1538"/>
      <c r="G10" s="1539"/>
    </row>
    <row r="11" spans="1:7" ht="17.25" customHeight="1" x14ac:dyDescent="0.25">
      <c r="A11" s="2273" t="s">
        <v>1932</v>
      </c>
      <c r="B11" s="2274"/>
      <c r="C11" s="2274"/>
      <c r="D11" s="2274"/>
      <c r="E11" s="2274"/>
      <c r="F11" s="2274"/>
      <c r="G11" s="2275"/>
    </row>
    <row r="12" spans="1:7" ht="15" customHeight="1" x14ac:dyDescent="0.25">
      <c r="A12" s="1537" t="s">
        <v>1823</v>
      </c>
      <c r="B12" s="1538"/>
      <c r="C12" s="1538"/>
      <c r="D12" s="1538"/>
      <c r="E12" s="1538"/>
      <c r="F12" s="1538"/>
      <c r="G12" s="1539"/>
    </row>
    <row r="13" spans="1:7" ht="32.25" customHeight="1" x14ac:dyDescent="0.25">
      <c r="A13" s="2264" t="s">
        <v>1974</v>
      </c>
      <c r="B13" s="2265"/>
      <c r="C13" s="2265"/>
      <c r="D13" s="2265"/>
      <c r="E13" s="2265"/>
      <c r="F13" s="2265"/>
      <c r="G13" s="2266"/>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00000"/>
  </sheetPr>
  <dimension ref="A1:I46"/>
  <sheetViews>
    <sheetView showGridLines="0" defaultGridColor="0" colorId="8" zoomScale="110" zoomScaleNormal="110" workbookViewId="0">
      <selection activeCell="G1" sqref="G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f>5340+253116</f>
        <v>258456</v>
      </c>
      <c r="F10" s="974"/>
      <c r="G10" s="975"/>
      <c r="H10" s="162"/>
      <c r="I10" s="162"/>
    </row>
    <row r="11" spans="1:9" s="668" customFormat="1" ht="22.5" customHeight="1" x14ac:dyDescent="0.2">
      <c r="A11" s="2284" t="s">
        <v>1975</v>
      </c>
      <c r="B11" s="2285"/>
      <c r="C11" s="2285"/>
      <c r="D11" s="2286"/>
      <c r="E11" s="977">
        <v>41024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5889414</v>
      </c>
      <c r="F19" s="1799"/>
      <c r="G19" s="1801">
        <f>'Expenditures 15-22'!K33-SUM('Expenditures 15-22'!G33,'Expenditures 15-22'!I33)+'Expenditures 15-22'!D229</f>
        <v>5889414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483798</v>
      </c>
      <c r="F21" s="1802"/>
      <c r="G21" s="1805">
        <f>'Expenditures 15-22'!K42-SUM('Expenditures 15-22'!G42,'Expenditures 15-22'!I42)+'Expenditures 15-22'!K120-SUM('Expenditures 15-22'!G120,'Expenditures 15-22'!I120)+'Expenditures 15-22'!K180-SUM('Expenditures 15-22'!G180,'Expenditures 15-22'!I180)+'Expenditures 15-22'!D238</f>
        <v>483798</v>
      </c>
      <c r="H21" s="987"/>
      <c r="I21" s="162"/>
    </row>
    <row r="22" spans="1:9" s="668" customFormat="1" ht="12" customHeight="1" x14ac:dyDescent="0.2">
      <c r="A22" s="994" t="s">
        <v>564</v>
      </c>
      <c r="B22" s="995"/>
      <c r="C22" s="993">
        <v>2200</v>
      </c>
      <c r="D22" s="1802"/>
      <c r="E22" s="1804">
        <f>'Expenditures 15-22'!K47-SUM('Expenditures 15-22'!G47,'Expenditures 15-22'!I47)+'Expenditures 15-22'!D243</f>
        <v>579271</v>
      </c>
      <c r="F22" s="1802"/>
      <c r="G22" s="1805">
        <f>'Expenditures 15-22'!K47-SUM('Expenditures 15-22'!G47,'Expenditures 15-22'!I47)+'Expenditures 15-22'!D243</f>
        <v>579271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495786</v>
      </c>
      <c r="F23" s="1802"/>
      <c r="G23" s="1804">
        <f>'Expenditures 15-22'!K53-SUM('Expenditures 15-22'!G53,'Expenditures 15-22'!I53)+'Expenditures 15-22'!D257+'Expenditures 15-22'!K330-SUM('Expenditures 15-22'!G330,'Expenditures 15-22'!I330)</f>
        <v>495786</v>
      </c>
      <c r="H23" s="987"/>
      <c r="I23" s="162"/>
    </row>
    <row r="24" spans="1:9" s="668" customFormat="1" ht="12" customHeight="1" x14ac:dyDescent="0.2">
      <c r="A24" s="994" t="s">
        <v>566</v>
      </c>
      <c r="B24" s="995"/>
      <c r="C24" s="993">
        <v>2400</v>
      </c>
      <c r="D24" s="1802"/>
      <c r="E24" s="1804">
        <f>'Expenditures 15-22'!K57-SUM('Expenditures 15-22'!G57,'Expenditures 15-22'!I57)+'Expenditures 15-22'!D261</f>
        <v>662387</v>
      </c>
      <c r="F24" s="1802"/>
      <c r="G24" s="1805">
        <f>'Expenditures 15-22'!K57-SUM('Expenditures 15-22'!G57,'Expenditures 15-22'!I57)+'Expenditures 15-22'!D261</f>
        <v>662387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193025</v>
      </c>
      <c r="E27" s="1804">
        <f>E8</f>
        <v>0</v>
      </c>
      <c r="F27" s="1804">
        <f>'Expenditures 15-22'!K60-SUM('Expenditures 15-22'!G60,'Expenditures 15-22'!I60)+'Expenditures 15-22'!D264-E8</f>
        <v>193025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1109562</v>
      </c>
      <c r="F28" s="1806">
        <f>'Expenditures 15-22'!K61-SUM('Expenditures 15-22'!G61,'Expenditures 15-22'!I61)+'Expenditures 15-22'!K124-SUM('Expenditures 15-22'!G124,'Expenditures 15-22'!I124)+'Expenditures 15-22'!D266-E9</f>
        <v>1109562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673957</v>
      </c>
      <c r="F29" s="1802"/>
      <c r="G29" s="1805">
        <f>'Expenditures 15-22'!K62-SUM('Expenditures 15-22'!G62,'Expenditures 15-22'!I62)+'Expenditures 15-22'!K125-SUM('Expenditures 15-22'!G125,'Expenditures 15-22'!I125)+'Expenditures 15-22'!K182-SUM('Expenditures 15-22'!G182,'Expenditures 15-22'!I182)+'Expenditures 15-22'!D267</f>
        <v>673957</v>
      </c>
      <c r="H29" s="985"/>
    </row>
    <row r="30" spans="1:9" ht="12" customHeight="1" x14ac:dyDescent="0.2">
      <c r="A30" s="994" t="s">
        <v>100</v>
      </c>
      <c r="B30" s="997"/>
      <c r="C30" s="993">
        <v>2560</v>
      </c>
      <c r="D30" s="1802"/>
      <c r="E30" s="1804">
        <f>'Expenditures 15-22'!K63-SUM('Expenditures 15-22'!G63,'Expenditures 15-22'!I63)+'Expenditures 15-22'!D268-E10</f>
        <v>259704</v>
      </c>
      <c r="F30" s="1802"/>
      <c r="G30" s="1804">
        <f>'Expenditures 15-22'!K63-SUM('Expenditures 15-22'!G63,'Expenditures 15-22'!I63)+'Expenditures 15-22'!D268-E10</f>
        <v>259704</v>
      </c>
    </row>
    <row r="31" spans="1:9" ht="12" customHeight="1" x14ac:dyDescent="0.2">
      <c r="A31" s="994" t="s">
        <v>101</v>
      </c>
      <c r="B31" s="997"/>
      <c r="C31" s="993">
        <v>2570</v>
      </c>
      <c r="D31" s="1804">
        <f>'Expenditures 15-22'!K64-SUM('Expenditures 15-22'!G64,'Expenditures 15-22'!I64)+'Expenditures 15-22'!D269-E12</f>
        <v>15601</v>
      </c>
      <c r="E31" s="1804">
        <f>E12</f>
        <v>0</v>
      </c>
      <c r="F31" s="1804">
        <f>'Expenditures 15-22'!K64-SUM('Expenditures 15-22'!G64,'Expenditures 15-22'!I64)+'Expenditures 15-22'!D269-E12</f>
        <v>15601</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4120</v>
      </c>
      <c r="F39" s="1802"/>
      <c r="G39" s="1804">
        <f>'Expenditures 15-22'!K75-SUM('Expenditures 15-22'!G75,'Expenditures 15-22'!I75)+'Expenditures 15-22'!K130-SUM('Expenditures 15-22'!G130,'Expenditures 15-22'!I130)+'Expenditures 15-22'!K185-SUM('Expenditures 15-22'!G185,'Expenditures 15-22'!I185)+'Expenditures 15-22'!D280</f>
        <v>4120</v>
      </c>
    </row>
    <row r="40" spans="1:7" ht="12" customHeight="1" x14ac:dyDescent="0.2">
      <c r="A40" s="990" t="s">
        <v>1821</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208626</v>
      </c>
      <c r="E41" s="1806">
        <f>SUM(E19:E40)</f>
        <v>10157999</v>
      </c>
      <c r="F41" s="1806">
        <f>SUM(F19:F39)</f>
        <v>1318188</v>
      </c>
      <c r="G41" s="1806">
        <f>SUM(G19:G40)</f>
        <v>9048437</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208626</v>
      </c>
      <c r="F43" s="1807" t="s">
        <v>473</v>
      </c>
      <c r="G43" s="1808">
        <f>F41</f>
        <v>1318188</v>
      </c>
    </row>
    <row r="44" spans="1:7" ht="12" customHeight="1" x14ac:dyDescent="0.2">
      <c r="A44" s="987"/>
      <c r="B44" s="162"/>
      <c r="C44" s="1001"/>
      <c r="D44" s="1807" t="s">
        <v>474</v>
      </c>
      <c r="E44" s="1808">
        <f>E41</f>
        <v>10157999</v>
      </c>
      <c r="F44" s="1807" t="s">
        <v>474</v>
      </c>
      <c r="G44" s="1808">
        <f>G41</f>
        <v>9048437</v>
      </c>
    </row>
    <row r="45" spans="1:7" ht="12" customHeight="1" x14ac:dyDescent="0.2">
      <c r="A45" s="987"/>
      <c r="B45" s="162"/>
      <c r="C45" s="162"/>
      <c r="D45" s="1809" t="s">
        <v>1006</v>
      </c>
      <c r="E45" s="1810">
        <f>(E43/E44)</f>
        <v>2.0538100072661949E-2</v>
      </c>
      <c r="F45" s="1809" t="s">
        <v>1006</v>
      </c>
      <c r="G45" s="1810">
        <f>(G43/G44)</f>
        <v>0.14568129280228176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00000"/>
  </sheetPr>
  <dimension ref="A1:L97"/>
  <sheetViews>
    <sheetView showGridLines="0" zoomScale="110" zoomScaleNormal="110" workbookViewId="0">
      <pane ySplit="4" topLeftCell="A5" activePane="bottomLeft" state="frozen"/>
      <selection activeCell="A47" sqref="A47"/>
      <selection pane="bottomLeft" activeCell="C10" sqref="C1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Carlinville CUSD 1</v>
      </c>
      <c r="D6" s="2305"/>
      <c r="E6" s="2305"/>
      <c r="F6" s="1852"/>
    </row>
    <row r="7" spans="1:10" ht="11.25" customHeight="1" thickBot="1" x14ac:dyDescent="0.3">
      <c r="A7" s="1850"/>
      <c r="B7" s="1851"/>
      <c r="C7" s="2306">
        <f>COVER!A13</f>
        <v>40056001026</v>
      </c>
      <c r="D7" s="2306"/>
      <c r="E7" s="2306"/>
      <c r="F7" s="1852"/>
    </row>
    <row r="8" spans="1:10" ht="25.5" customHeight="1" thickBot="1" x14ac:dyDescent="0.25">
      <c r="A8" s="1893" t="s">
        <v>1906</v>
      </c>
      <c r="B8" s="1853" t="s">
        <v>2098</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C00000"/>
  </sheetPr>
  <dimension ref="A1:Q40"/>
  <sheetViews>
    <sheetView showGridLines="0" defaultGridColor="0" topLeftCell="A4" colorId="8" zoomScale="110" zoomScaleNormal="110" workbookViewId="0">
      <selection activeCell="I13" sqref="I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Carlinville CUSD 1</v>
      </c>
      <c r="J6" s="2315"/>
      <c r="Q6" s="1664"/>
    </row>
    <row r="7" spans="1:17" x14ac:dyDescent="0.2">
      <c r="A7" s="2316" t="s">
        <v>869</v>
      </c>
      <c r="B7" s="2317"/>
      <c r="C7" s="2317"/>
      <c r="D7" s="2317"/>
      <c r="E7" s="2318"/>
      <c r="F7" s="1017"/>
      <c r="G7" s="1009"/>
      <c r="H7" s="1016" t="s">
        <v>372</v>
      </c>
      <c r="I7" s="2319">
        <f>COVER!A13</f>
        <v>40056001026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167117</v>
      </c>
      <c r="F12" s="1039"/>
      <c r="G12" s="1811">
        <f t="shared" ref="G12:G18" si="0">SUM(E12:F12)</f>
        <v>167117</v>
      </c>
      <c r="H12" s="1040">
        <v>184730</v>
      </c>
      <c r="I12" s="1039"/>
      <c r="J12" s="1811">
        <f t="shared" ref="J12:J18" si="1">SUM(H12:I12)</f>
        <v>184730</v>
      </c>
    </row>
    <row r="13" spans="1:17" ht="15" customHeight="1" x14ac:dyDescent="0.2">
      <c r="A13" s="1035">
        <v>2</v>
      </c>
      <c r="B13" s="1036" t="s">
        <v>42</v>
      </c>
      <c r="C13" s="1037"/>
      <c r="D13" s="1038">
        <v>2330</v>
      </c>
      <c r="E13" s="1811">
        <f>'Expenditures 15-22'!K51</f>
        <v>10063</v>
      </c>
      <c r="F13" s="1039"/>
      <c r="G13" s="1811">
        <f t="shared" si="0"/>
        <v>10063</v>
      </c>
      <c r="H13" s="1040">
        <v>4226</v>
      </c>
      <c r="I13" s="1039"/>
      <c r="J13" s="1811">
        <f t="shared" si="1"/>
        <v>4226</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63385</v>
      </c>
      <c r="F16" s="1039"/>
      <c r="G16" s="1811">
        <f t="shared" si="0"/>
        <v>63385</v>
      </c>
      <c r="H16" s="1040">
        <v>14200</v>
      </c>
      <c r="I16" s="1039"/>
      <c r="J16" s="1811">
        <f t="shared" si="1"/>
        <v>14200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240565</v>
      </c>
      <c r="F19" s="1813">
        <f t="shared" si="2"/>
        <v>0</v>
      </c>
      <c r="G19" s="1813">
        <f t="shared" si="2"/>
        <v>240565</v>
      </c>
      <c r="H19" s="1813">
        <f t="shared" si="2"/>
        <v>203156</v>
      </c>
      <c r="I19" s="1813">
        <f t="shared" si="2"/>
        <v>0</v>
      </c>
      <c r="J19" s="1813">
        <f t="shared" si="2"/>
        <v>203156</v>
      </c>
    </row>
    <row r="20" spans="1:10" ht="13.5" thickTop="1" x14ac:dyDescent="0.2">
      <c r="A20" s="1035">
        <v>9</v>
      </c>
      <c r="B20" s="2326" t="s">
        <v>1979</v>
      </c>
      <c r="C20" s="2326"/>
      <c r="D20" s="2327"/>
      <c r="E20" s="1046"/>
      <c r="F20" s="1046"/>
      <c r="G20" s="1046"/>
      <c r="H20" s="1046"/>
      <c r="I20" s="1046"/>
      <c r="J20" s="1814">
        <f>IF(AND(G19&gt;0,J19&gt;0),(((J19-G19)/G19)),"Enter Budget Data")</f>
        <v>-0.15550474923617316</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1981</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C00000"/>
  </sheetPr>
  <dimension ref="A2:B65"/>
  <sheetViews>
    <sheetView showGridLines="0" zoomScale="110" zoomScaleNormal="110" workbookViewId="0">
      <selection activeCell="B16" sqref="B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A6" s="1068">
        <v>2</v>
      </c>
      <c r="B6" s="329" t="s">
        <v>2089</v>
      </c>
    </row>
    <row r="7" spans="1:2" x14ac:dyDescent="0.2">
      <c r="A7" s="1068">
        <v>3</v>
      </c>
      <c r="B7" s="329" t="s">
        <v>2090</v>
      </c>
    </row>
    <row r="8" spans="1:2" x14ac:dyDescent="0.2">
      <c r="A8" s="1068">
        <v>4</v>
      </c>
      <c r="B8" s="329" t="s">
        <v>2091</v>
      </c>
    </row>
    <row r="9" spans="1:2" x14ac:dyDescent="0.2">
      <c r="A9" s="1068">
        <v>5</v>
      </c>
      <c r="B9" s="329" t="s">
        <v>2092</v>
      </c>
    </row>
    <row r="10" spans="1:2" x14ac:dyDescent="0.2">
      <c r="A10" s="1068">
        <v>6</v>
      </c>
      <c r="B10" s="329" t="s">
        <v>2093</v>
      </c>
    </row>
    <row r="11" spans="1:2" x14ac:dyDescent="0.2">
      <c r="A11" s="1068">
        <v>7</v>
      </c>
      <c r="B11" s="329" t="s">
        <v>2094</v>
      </c>
    </row>
    <row r="12" spans="1:2" x14ac:dyDescent="0.2">
      <c r="A12" s="1068">
        <v>8</v>
      </c>
      <c r="B12" s="329" t="s">
        <v>2095</v>
      </c>
    </row>
    <row r="13" spans="1:2" x14ac:dyDescent="0.2">
      <c r="A13" s="1068">
        <v>9</v>
      </c>
      <c r="B13" s="329" t="s">
        <v>2096</v>
      </c>
    </row>
    <row r="14" spans="1:2" x14ac:dyDescent="0.2">
      <c r="A14" s="1069">
        <v>10</v>
      </c>
      <c r="B14" s="329" t="s">
        <v>2097</v>
      </c>
    </row>
    <row r="15" spans="1:2" x14ac:dyDescent="0.2">
      <c r="A15" s="1069">
        <v>11</v>
      </c>
      <c r="B15" s="329" t="s">
        <v>2099</v>
      </c>
    </row>
    <row r="16" spans="1:2" x14ac:dyDescent="0.2">
      <c r="A16" s="1069"/>
      <c r="B16" s="329" t="s">
        <v>2100</v>
      </c>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Carlinville CUSD 1</v>
      </c>
    </row>
    <row r="65" spans="2:2" x14ac:dyDescent="0.2">
      <c r="B65" s="1070">
        <f>COVER!A13</f>
        <v>40056001026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I84"/>
  <sheetViews>
    <sheetView showGridLines="0" topLeftCell="A9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C00000"/>
  </sheetPr>
  <dimension ref="A1:D19"/>
  <sheetViews>
    <sheetView showGridLines="0" defaultGridColor="0" topLeftCell="A4"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4"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266700</xdr:colOff>
                <xdr:row>5</xdr:row>
                <xdr:rowOff>0</xdr:rowOff>
              </from>
              <to>
                <xdr:col>1</xdr:col>
                <xdr:colOff>1181100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C00000"/>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1985</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1986</v>
      </c>
      <c r="B4" s="2354"/>
      <c r="C4" s="2354"/>
      <c r="D4" s="2354"/>
      <c r="E4" s="2354"/>
      <c r="F4" s="2355"/>
      <c r="G4" s="1074"/>
      <c r="H4" s="1074"/>
    </row>
    <row r="5" spans="1:8" ht="14.25" customHeight="1" x14ac:dyDescent="0.2">
      <c r="A5" s="2356" t="s">
        <v>1982</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10355427</v>
      </c>
      <c r="C8" s="1815">
        <f>'Acct Summary 7-8'!D8</f>
        <v>1003433</v>
      </c>
      <c r="D8" s="1815">
        <f>'Acct Summary 7-8'!F8</f>
        <v>704824</v>
      </c>
      <c r="E8" s="1815">
        <f>'Acct Summary 7-8'!I8</f>
        <v>52924</v>
      </c>
      <c r="F8" s="1815">
        <f>SUM(B8:E8)</f>
        <v>12116608</v>
      </c>
    </row>
    <row r="9" spans="1:8" s="1079" customFormat="1" ht="14.25" customHeight="1" thickBot="1" x14ac:dyDescent="0.25">
      <c r="A9" s="1078" t="s">
        <v>1369</v>
      </c>
      <c r="B9" s="1816">
        <f>'Acct Summary 7-8'!C17</f>
        <v>9987944</v>
      </c>
      <c r="C9" s="1816">
        <f>'Acct Summary 7-8'!D17</f>
        <v>1056934</v>
      </c>
      <c r="D9" s="1816">
        <f>'Acct Summary 7-8'!F17</f>
        <v>753732</v>
      </c>
      <c r="E9" s="1815"/>
      <c r="F9" s="1815">
        <f>SUM(B9:E9)</f>
        <v>11798610</v>
      </c>
    </row>
    <row r="10" spans="1:8" s="1079" customFormat="1" ht="14.25" thickTop="1" thickBot="1" x14ac:dyDescent="0.25">
      <c r="A10" s="1080" t="s">
        <v>1370</v>
      </c>
      <c r="B10" s="1817">
        <f>(B8-B9)</f>
        <v>367483</v>
      </c>
      <c r="C10" s="1817">
        <f>(C8-C9)</f>
        <v>-53501</v>
      </c>
      <c r="D10" s="1817">
        <f>(D8-D9)</f>
        <v>-48908</v>
      </c>
      <c r="E10" s="1816">
        <f>(E8-E9)</f>
        <v>52924</v>
      </c>
      <c r="F10" s="1818">
        <f>SUM(F8-F9)</f>
        <v>317998</v>
      </c>
    </row>
    <row r="11" spans="1:8" s="1079" customFormat="1" ht="14.25" thickTop="1" thickBot="1" x14ac:dyDescent="0.25">
      <c r="A11" s="1081" t="s">
        <v>1983</v>
      </c>
      <c r="B11" s="1819">
        <f>'Acct Summary 7-8'!C81</f>
        <v>3634112</v>
      </c>
      <c r="C11" s="1819">
        <f>'Acct Summary 7-8'!D81</f>
        <v>338647</v>
      </c>
      <c r="D11" s="1819">
        <f>'Acct Summary 7-8'!F81</f>
        <v>329771</v>
      </c>
      <c r="E11" s="1819">
        <f>'Acct Summary 7-8'!I81</f>
        <v>3949720</v>
      </c>
      <c r="F11" s="1820">
        <f>SUM(B11:E11)</f>
        <v>8252250</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68" sqref="D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ERROR!</v>
      </c>
    </row>
    <row r="69" spans="1:4" x14ac:dyDescent="0.2">
      <c r="A69" s="1100"/>
      <c r="B69" s="1110"/>
      <c r="C69" s="1102" t="s">
        <v>1914</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40056001026</v>
      </c>
    </row>
    <row r="3" spans="1:2" x14ac:dyDescent="0.2">
      <c r="A3" t="s">
        <v>956</v>
      </c>
      <c r="B3" s="138" t="str">
        <f>COVER!A15</f>
        <v>MACOUPIN</v>
      </c>
    </row>
    <row r="4" spans="1:2" x14ac:dyDescent="0.2">
      <c r="A4" t="s">
        <v>1007</v>
      </c>
      <c r="B4" s="138" t="str">
        <f>COVER!A17</f>
        <v>Carlinville CUSD 1</v>
      </c>
    </row>
    <row r="5" spans="1:2" x14ac:dyDescent="0.2">
      <c r="A5" t="s">
        <v>704</v>
      </c>
      <c r="B5" s="138" t="str">
        <f>COVER!A38</f>
        <v>BECKY SCHUCHMAN</v>
      </c>
    </row>
    <row r="6" spans="1:2" x14ac:dyDescent="0.2">
      <c r="A6" t="s">
        <v>709</v>
      </c>
      <c r="B6" s="138">
        <f>COVER!P35</f>
        <v>0</v>
      </c>
    </row>
    <row r="7" spans="1:2" x14ac:dyDescent="0.2">
      <c r="A7" t="s">
        <v>705</v>
      </c>
      <c r="B7" s="138">
        <f>COVER!I38</f>
        <v>0</v>
      </c>
    </row>
    <row r="8" spans="1:2" x14ac:dyDescent="0.2">
      <c r="A8" t="s">
        <v>706</v>
      </c>
      <c r="B8" s="138" t="str">
        <f>COVER!T38</f>
        <v>MICHELLE MUELLER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060-003363</v>
      </c>
    </row>
    <row r="16" spans="1:2" x14ac:dyDescent="0.2">
      <c r="A16" t="s">
        <v>422</v>
      </c>
      <c r="B16" s="138" t="str">
        <f>COVER!T13</f>
        <v>LOY MILLER TALLEY, PC</v>
      </c>
    </row>
    <row r="17" spans="1:2" x14ac:dyDescent="0.2">
      <c r="A17" t="s">
        <v>884</v>
      </c>
      <c r="B17" s="138" t="str">
        <f>COVER!T15</f>
        <v>KENNETH E. LOY, CPA</v>
      </c>
    </row>
    <row r="18" spans="1:2" x14ac:dyDescent="0.2">
      <c r="A18" t="s">
        <v>1150</v>
      </c>
      <c r="B18" s="138" t="str">
        <f>COVER!T17</f>
        <v>#2 CROSSROADS CT</v>
      </c>
    </row>
    <row r="19" spans="1:2" x14ac:dyDescent="0.2">
      <c r="A19" t="s">
        <v>886</v>
      </c>
      <c r="B19" s="138" t="str">
        <f>COVER!T25</f>
        <v>KEN@LMTCPAS.COM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618-465-1196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t="str">
        <f>'Aud Quest 2'!H53</f>
        <v>11/5/1196</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2657878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3738677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84103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104565</v>
      </c>
      <c r="C91" s="2" t="s">
        <v>573</v>
      </c>
      <c r="D91" s="2" t="str">
        <f t="shared" si="0"/>
        <v>Error?</v>
      </c>
    </row>
    <row r="92" spans="1:4" x14ac:dyDescent="0.2">
      <c r="A92" s="5">
        <v>31</v>
      </c>
      <c r="B92" s="138">
        <f>'Assets-Liab 5-6'!C39</f>
        <v>3634112</v>
      </c>
      <c r="D92" s="2" t="str">
        <f t="shared" si="0"/>
        <v>Error?</v>
      </c>
    </row>
    <row r="93" spans="1:4" x14ac:dyDescent="0.2">
      <c r="A93" s="5">
        <v>32</v>
      </c>
      <c r="B93" s="138">
        <f>'Assets-Liab 5-6'!C41</f>
        <v>3738677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167218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338647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338647</v>
      </c>
      <c r="D123" s="2" t="str">
        <f t="shared" si="0"/>
        <v>Error?</v>
      </c>
    </row>
    <row r="124" spans="1:4" x14ac:dyDescent="0.2">
      <c r="A124" s="5">
        <v>63</v>
      </c>
      <c r="B124" s="138">
        <f>'Assets-Liab 5-6'!D41</f>
        <v>338647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141357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141357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151141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329771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329771</v>
      </c>
      <c r="D170" s="2" t="str">
        <f t="shared" si="1"/>
        <v>Error?</v>
      </c>
    </row>
    <row r="171" spans="1:4" x14ac:dyDescent="0.2">
      <c r="A171" s="5">
        <v>110</v>
      </c>
      <c r="B171" s="138">
        <f>'Assets-Liab 5-6'!F41</f>
        <v>329771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136105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136105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506724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678886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678886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170329</v>
      </c>
      <c r="D273" s="2" t="str">
        <f t="shared" si="3"/>
        <v>Error?</v>
      </c>
    </row>
    <row r="274" spans="1:4" x14ac:dyDescent="0.2">
      <c r="A274" s="5">
        <v>213</v>
      </c>
      <c r="B274" s="138">
        <f>'Assets-Liab 5-6'!M17</f>
        <v>26441735</v>
      </c>
      <c r="D274" s="2" t="str">
        <f t="shared" si="3"/>
        <v>Error?</v>
      </c>
    </row>
    <row r="275" spans="1:4" x14ac:dyDescent="0.2">
      <c r="A275" s="5">
        <v>214</v>
      </c>
      <c r="B275" s="138">
        <f>'Assets-Liab 5-6'!M18</f>
        <v>0</v>
      </c>
      <c r="D275" s="2" t="str">
        <f t="shared" si="3"/>
        <v>Error?</v>
      </c>
    </row>
    <row r="276" spans="1:4" x14ac:dyDescent="0.2">
      <c r="A276" s="5">
        <v>215</v>
      </c>
      <c r="B276" s="138">
        <f>'Assets-Liab 5-6'!M19</f>
        <v>7126991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33739055</v>
      </c>
      <c r="C279" s="2" t="s">
        <v>573</v>
      </c>
      <c r="D279" s="2" t="str">
        <f t="shared" si="3"/>
        <v>Error?</v>
      </c>
    </row>
    <row r="280" spans="1:4" x14ac:dyDescent="0.2">
      <c r="A280" s="5">
        <v>219</v>
      </c>
      <c r="B280" s="138">
        <f>'Assets-Liab 5-6'!M40</f>
        <v>33739055</v>
      </c>
      <c r="D280" s="2" t="str">
        <f t="shared" si="3"/>
        <v>Error?</v>
      </c>
    </row>
    <row r="281" spans="1:4" x14ac:dyDescent="0.2">
      <c r="A281" s="5">
        <v>220</v>
      </c>
      <c r="B281" s="138">
        <f>'Assets-Liab 5-6'!M41</f>
        <v>33739055</v>
      </c>
      <c r="C281" s="2" t="s">
        <v>573</v>
      </c>
      <c r="D281" s="2" t="str">
        <f t="shared" si="3"/>
        <v>Error?</v>
      </c>
    </row>
    <row r="282" spans="1:4" x14ac:dyDescent="0.2">
      <c r="A282" s="5">
        <v>221</v>
      </c>
      <c r="B282" s="138">
        <f>'Assets-Liab 5-6'!N21</f>
        <v>141357</v>
      </c>
      <c r="D282" s="2" t="str">
        <f t="shared" si="3"/>
        <v>Error?</v>
      </c>
    </row>
    <row r="283" spans="1:4" x14ac:dyDescent="0.2">
      <c r="A283" s="5">
        <v>222</v>
      </c>
      <c r="B283" s="138">
        <f>'Assets-Liab 5-6'!N22</f>
        <v>2789864</v>
      </c>
      <c r="D283" s="2" t="str">
        <f t="shared" si="3"/>
        <v>Error?</v>
      </c>
    </row>
    <row r="284" spans="1:4" x14ac:dyDescent="0.2">
      <c r="A284" s="5">
        <v>223</v>
      </c>
      <c r="B284" s="138">
        <f>'Assets-Liab 5-6'!N23</f>
        <v>2931221</v>
      </c>
      <c r="C284" s="2" t="s">
        <v>573</v>
      </c>
      <c r="D284" s="2" t="str">
        <f t="shared" si="3"/>
        <v>Error?</v>
      </c>
    </row>
    <row r="285" spans="1:4" x14ac:dyDescent="0.2">
      <c r="A285" s="5">
        <v>224</v>
      </c>
      <c r="B285" s="138">
        <f>'Assets-Liab 5-6'!N36</f>
        <v>2931221</v>
      </c>
      <c r="D285" s="2" t="str">
        <f t="shared" si="3"/>
        <v>Error?</v>
      </c>
    </row>
    <row r="286" spans="1:4" x14ac:dyDescent="0.2">
      <c r="A286" s="10">
        <v>225</v>
      </c>
      <c r="D286" s="2" t="str">
        <f t="shared" si="3"/>
        <v>OK</v>
      </c>
    </row>
    <row r="287" spans="1:4" x14ac:dyDescent="0.2">
      <c r="A287" s="5">
        <v>226</v>
      </c>
      <c r="B287" s="138">
        <f>'Assets-Liab 5-6'!N37</f>
        <v>2931221</v>
      </c>
      <c r="C287" s="2" t="s">
        <v>573</v>
      </c>
      <c r="D287" s="2" t="str">
        <f t="shared" si="3"/>
        <v>Error?</v>
      </c>
    </row>
    <row r="288" spans="1:4" x14ac:dyDescent="0.2">
      <c r="A288" s="5">
        <v>227</v>
      </c>
      <c r="B288" s="138">
        <f>'Assets-Liab 5-6'!N41</f>
        <v>2931221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3992356</v>
      </c>
      <c r="D705" s="2" t="str">
        <f t="shared" si="10"/>
        <v>Error?</v>
      </c>
    </row>
    <row r="706" spans="1:4" x14ac:dyDescent="0.2">
      <c r="A706" s="5">
        <v>645</v>
      </c>
      <c r="B706" s="138">
        <f>'Expenditures 15-22'!C16</f>
        <v>75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204625</v>
      </c>
      <c r="D717" s="2" t="str">
        <f t="shared" si="10"/>
        <v>Error?</v>
      </c>
    </row>
    <row r="718" spans="1:4" x14ac:dyDescent="0.2">
      <c r="A718" s="5">
        <v>657</v>
      </c>
      <c r="B718" s="138">
        <f>'Expenditures 15-22'!C14</f>
        <v>182847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4776348</v>
      </c>
      <c r="C720" s="2" t="s">
        <v>573</v>
      </c>
      <c r="D720" s="2" t="str">
        <f t="shared" si="10"/>
        <v>Error?</v>
      </c>
    </row>
    <row r="721" spans="1:4" x14ac:dyDescent="0.2">
      <c r="A721" s="5">
        <v>660</v>
      </c>
      <c r="B721" s="138">
        <f>'Expenditures 15-22'!C36</f>
        <v>56585</v>
      </c>
      <c r="D721" s="2" t="str">
        <f t="shared" si="10"/>
        <v>Error?</v>
      </c>
    </row>
    <row r="722" spans="1:4" x14ac:dyDescent="0.2">
      <c r="A722" s="5">
        <v>661</v>
      </c>
      <c r="B722" s="138">
        <f>'Expenditures 15-22'!C37</f>
        <v>213577</v>
      </c>
      <c r="D722" s="2" t="str">
        <f t="shared" si="10"/>
        <v>Error?</v>
      </c>
    </row>
    <row r="723" spans="1:4" x14ac:dyDescent="0.2">
      <c r="A723" s="5">
        <v>662</v>
      </c>
      <c r="B723" s="138">
        <f>'Expenditures 15-22'!C38</f>
        <v>132987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4814</v>
      </c>
      <c r="D726" s="2" t="str">
        <f t="shared" si="10"/>
        <v>Error?</v>
      </c>
    </row>
    <row r="727" spans="1:4" x14ac:dyDescent="0.2">
      <c r="A727" s="5">
        <v>666</v>
      </c>
      <c r="B727" s="138">
        <f>'Expenditures 15-22'!C42</f>
        <v>407963</v>
      </c>
      <c r="C727" s="2" t="s">
        <v>573</v>
      </c>
      <c r="D727" s="2" t="str">
        <f t="shared" si="10"/>
        <v>Error?</v>
      </c>
    </row>
    <row r="728" spans="1:4" x14ac:dyDescent="0.2">
      <c r="A728" s="5">
        <v>667</v>
      </c>
      <c r="B728" s="138">
        <f>'Expenditures 15-22'!C44</f>
        <v>40407</v>
      </c>
      <c r="D728" s="2" t="str">
        <f t="shared" si="10"/>
        <v>Error?</v>
      </c>
    </row>
    <row r="729" spans="1:4" x14ac:dyDescent="0.2">
      <c r="A729" s="5">
        <v>668</v>
      </c>
      <c r="B729" s="138">
        <f>'Expenditures 15-22'!C45</f>
        <v>258511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298918</v>
      </c>
      <c r="C731" s="2" t="s">
        <v>573</v>
      </c>
      <c r="D731" s="2" t="str">
        <f t="shared" si="10"/>
        <v>Error?</v>
      </c>
    </row>
    <row r="732" spans="1:4" x14ac:dyDescent="0.2">
      <c r="A732" s="5">
        <v>671</v>
      </c>
      <c r="B732" s="138">
        <f>'Expenditures 15-22'!C49</f>
        <v>782</v>
      </c>
      <c r="D732" s="2" t="str">
        <f t="shared" si="10"/>
        <v>Error?</v>
      </c>
    </row>
    <row r="733" spans="1:4" x14ac:dyDescent="0.2">
      <c r="A733" s="5">
        <v>672</v>
      </c>
      <c r="B733" s="138">
        <f>'Expenditures 15-22'!C50</f>
        <v>148023</v>
      </c>
      <c r="D733" s="2" t="str">
        <f t="shared" si="10"/>
        <v>Error?</v>
      </c>
    </row>
    <row r="734" spans="1:4" x14ac:dyDescent="0.2">
      <c r="A734" s="5">
        <v>673</v>
      </c>
      <c r="B734" s="138">
        <f>'Expenditures 15-22'!C53</f>
        <v>156877</v>
      </c>
      <c r="C734" s="2" t="s">
        <v>573</v>
      </c>
      <c r="D734" s="2" t="str">
        <f t="shared" si="10"/>
        <v>Error?</v>
      </c>
    </row>
    <row r="735" spans="1:4" x14ac:dyDescent="0.2">
      <c r="A735" s="5">
        <v>674</v>
      </c>
      <c r="B735" s="138">
        <f>'Expenditures 15-22'!C55</f>
        <v>531099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531099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111898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179867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291765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1686622</v>
      </c>
      <c r="C755" s="2" t="s">
        <v>573</v>
      </c>
      <c r="D755" s="2" t="str">
        <f t="shared" si="10"/>
        <v>Error?</v>
      </c>
    </row>
    <row r="756" spans="1:4" x14ac:dyDescent="0.2">
      <c r="A756" s="5">
        <v>695</v>
      </c>
      <c r="B756" s="138">
        <f>'Expenditures 15-22'!C75</f>
        <v>2144</v>
      </c>
      <c r="D756" s="2" t="str">
        <f t="shared" si="10"/>
        <v>Error?</v>
      </c>
    </row>
    <row r="757" spans="1:4" x14ac:dyDescent="0.2">
      <c r="A757" s="5">
        <v>696</v>
      </c>
      <c r="B757" s="138">
        <f>'Expenditures 15-22'!C114</f>
        <v>6465114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502462</v>
      </c>
      <c r="D763" s="2" t="str">
        <f t="shared" si="10"/>
        <v>Error?</v>
      </c>
    </row>
    <row r="764" spans="1:4" x14ac:dyDescent="0.2">
      <c r="A764" s="5">
        <v>703</v>
      </c>
      <c r="B764" s="138">
        <f>'Expenditures 15-22'!D16</f>
        <v>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28688</v>
      </c>
      <c r="D775" s="2" t="str">
        <f t="shared" si="11"/>
        <v>Error?</v>
      </c>
    </row>
    <row r="776" spans="1:4" x14ac:dyDescent="0.2">
      <c r="A776" s="5">
        <v>715</v>
      </c>
      <c r="B776" s="138">
        <f>'Expenditures 15-22'!D14</f>
        <v>5846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621112</v>
      </c>
      <c r="C778" s="2" t="s">
        <v>573</v>
      </c>
      <c r="D778" s="2" t="str">
        <f t="shared" si="11"/>
        <v>Error?</v>
      </c>
    </row>
    <row r="779" spans="1:4" x14ac:dyDescent="0.2">
      <c r="A779" s="5">
        <v>718</v>
      </c>
      <c r="B779" s="138">
        <f>'Expenditures 15-22'!D36</f>
        <v>7497</v>
      </c>
      <c r="D779" s="2" t="str">
        <f t="shared" si="11"/>
        <v>Error?</v>
      </c>
    </row>
    <row r="780" spans="1:4" x14ac:dyDescent="0.2">
      <c r="A780" s="5">
        <v>719</v>
      </c>
      <c r="B780" s="138">
        <f>'Expenditures 15-22'!D37</f>
        <v>29189</v>
      </c>
      <c r="D780" s="2" t="str">
        <f t="shared" si="11"/>
        <v>Error?</v>
      </c>
    </row>
    <row r="781" spans="1:4" x14ac:dyDescent="0.2">
      <c r="A781" s="5">
        <v>720</v>
      </c>
      <c r="B781" s="138">
        <f>'Expenditures 15-22'!D38</f>
        <v>18313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54999</v>
      </c>
      <c r="C785" s="2" t="s">
        <v>573</v>
      </c>
      <c r="D785" s="2" t="str">
        <f t="shared" si="11"/>
        <v>Error?</v>
      </c>
    </row>
    <row r="786" spans="1:4" x14ac:dyDescent="0.2">
      <c r="A786" s="5">
        <v>725</v>
      </c>
      <c r="B786" s="138">
        <f>'Expenditures 15-22'!D44</f>
        <v>4989</v>
      </c>
      <c r="D786" s="2" t="str">
        <f t="shared" si="11"/>
        <v>Error?</v>
      </c>
    </row>
    <row r="787" spans="1:4" x14ac:dyDescent="0.2">
      <c r="A787" s="5">
        <v>726</v>
      </c>
      <c r="B787" s="138">
        <f>'Expenditures 15-22'!D45</f>
        <v>32638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37627</v>
      </c>
      <c r="C789" s="2" t="s">
        <v>573</v>
      </c>
      <c r="D789" s="2" t="str">
        <f t="shared" si="11"/>
        <v>Error?</v>
      </c>
    </row>
    <row r="790" spans="1:4" x14ac:dyDescent="0.2">
      <c r="A790" s="5">
        <v>729</v>
      </c>
      <c r="B790" s="138">
        <f>'Expenditures 15-22'!D49</f>
        <v>750</v>
      </c>
      <c r="D790" s="2" t="str">
        <f t="shared" si="11"/>
        <v>Error?</v>
      </c>
    </row>
    <row r="791" spans="1:4" x14ac:dyDescent="0.2">
      <c r="A791" s="5">
        <v>730</v>
      </c>
      <c r="B791" s="138">
        <f>'Expenditures 15-22'!D50</f>
        <v>8860</v>
      </c>
      <c r="D791" s="2" t="str">
        <f t="shared" si="11"/>
        <v>Error?</v>
      </c>
    </row>
    <row r="792" spans="1:4" x14ac:dyDescent="0.2">
      <c r="A792" s="5">
        <v>731</v>
      </c>
      <c r="B792" s="138">
        <f>'Expenditures 15-22'!D53</f>
        <v>10972</v>
      </c>
      <c r="C792" s="2" t="s">
        <v>573</v>
      </c>
      <c r="D792" s="2" t="str">
        <f t="shared" si="11"/>
        <v>Error?</v>
      </c>
    </row>
    <row r="793" spans="1:4" x14ac:dyDescent="0.2">
      <c r="A793" s="5">
        <v>732</v>
      </c>
      <c r="B793" s="138">
        <f>'Expenditures 15-22'!D55</f>
        <v>85577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85577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19206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33977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53183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242358</v>
      </c>
      <c r="C813" s="2" t="s">
        <v>573</v>
      </c>
      <c r="D813" s="2" t="str">
        <f t="shared" si="11"/>
        <v>Error?</v>
      </c>
    </row>
    <row r="814" spans="1:4" x14ac:dyDescent="0.2">
      <c r="A814" s="5">
        <v>753</v>
      </c>
      <c r="B814" s="138">
        <f>'Expenditures 15-22'!D75</f>
        <v>56</v>
      </c>
      <c r="D814" s="2" t="str">
        <f t="shared" si="11"/>
        <v>Error?</v>
      </c>
    </row>
    <row r="815" spans="1:4" x14ac:dyDescent="0.2">
      <c r="A815" s="5">
        <v>754</v>
      </c>
      <c r="B815" s="138">
        <f>'Expenditures 15-22'!D114</f>
        <v>863526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29157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20453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55916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1891</v>
      </c>
      <c r="D842" s="2" t="str">
        <f t="shared" si="12"/>
        <v>Error?</v>
      </c>
    </row>
    <row r="843" spans="1:4" x14ac:dyDescent="0.2">
      <c r="A843" s="5">
        <v>782</v>
      </c>
      <c r="B843" s="138">
        <f>'Expenditures 15-22'!E42</f>
        <v>2210</v>
      </c>
      <c r="C843" s="2" t="s">
        <v>573</v>
      </c>
      <c r="D843" s="2" t="str">
        <f t="shared" si="12"/>
        <v>Error?</v>
      </c>
    </row>
    <row r="844" spans="1:4" x14ac:dyDescent="0.2">
      <c r="A844" s="5">
        <v>783</v>
      </c>
      <c r="B844" s="138">
        <f>'Expenditures 15-22'!E44</f>
        <v>15873</v>
      </c>
      <c r="D844" s="2" t="str">
        <f t="shared" si="12"/>
        <v>Error?</v>
      </c>
    </row>
    <row r="845" spans="1:4" x14ac:dyDescent="0.2">
      <c r="A845" s="5">
        <v>784</v>
      </c>
      <c r="B845" s="138">
        <f>'Expenditures 15-22'!E45</f>
        <v>11859</v>
      </c>
      <c r="D845" s="2" t="str">
        <f t="shared" si="12"/>
        <v>Error?</v>
      </c>
    </row>
    <row r="846" spans="1:4" x14ac:dyDescent="0.2">
      <c r="A846" s="5">
        <v>785</v>
      </c>
      <c r="B846" s="138">
        <f>'Expenditures 15-22'!E46</f>
        <v>199</v>
      </c>
      <c r="D846" s="2" t="str">
        <f t="shared" si="12"/>
        <v>Error?</v>
      </c>
    </row>
    <row r="847" spans="1:4" x14ac:dyDescent="0.2">
      <c r="A847" s="5">
        <v>786</v>
      </c>
      <c r="B847" s="138">
        <f>'Expenditures 15-22'!E47</f>
        <v>27931</v>
      </c>
      <c r="C847" s="2" t="s">
        <v>573</v>
      </c>
      <c r="D847" s="2" t="str">
        <f t="shared" si="12"/>
        <v>Error?</v>
      </c>
    </row>
    <row r="848" spans="1:4" x14ac:dyDescent="0.2">
      <c r="A848" s="5">
        <v>787</v>
      </c>
      <c r="B848" s="138">
        <f>'Expenditures 15-22'!E49</f>
        <v>48529</v>
      </c>
      <c r="D848" s="2" t="str">
        <f t="shared" si="12"/>
        <v>Error?</v>
      </c>
    </row>
    <row r="849" spans="1:4" x14ac:dyDescent="0.2">
      <c r="A849" s="5">
        <v>788</v>
      </c>
      <c r="B849" s="138">
        <f>'Expenditures 15-22'!E50</f>
        <v>4465</v>
      </c>
      <c r="D849" s="2" t="str">
        <f t="shared" si="12"/>
        <v>Error?</v>
      </c>
    </row>
    <row r="850" spans="1:4" x14ac:dyDescent="0.2">
      <c r="A850" s="5">
        <v>789</v>
      </c>
      <c r="B850" s="138">
        <f>'Expenditures 15-22'!E53</f>
        <v>53623</v>
      </c>
      <c r="C850" s="2" t="s">
        <v>573</v>
      </c>
      <c r="D850" s="2" t="str">
        <f t="shared" si="12"/>
        <v>Error?</v>
      </c>
    </row>
    <row r="851" spans="1:4" x14ac:dyDescent="0.2">
      <c r="A851" s="5">
        <v>790</v>
      </c>
      <c r="B851" s="138">
        <f>'Expenditures 15-22'!E55</f>
        <v>2188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2188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41168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676</v>
      </c>
      <c r="D857" s="2" t="str">
        <f t="shared" si="12"/>
        <v>Error?</v>
      </c>
    </row>
    <row r="858" spans="1:4" x14ac:dyDescent="0.2">
      <c r="A858" s="5">
        <v>797</v>
      </c>
      <c r="B858" s="138">
        <f>'Expenditures 15-22'!E63</f>
        <v>6074</v>
      </c>
      <c r="D858" s="2" t="str">
        <f t="shared" si="12"/>
        <v>Error?</v>
      </c>
    </row>
    <row r="859" spans="1:4" x14ac:dyDescent="0.2">
      <c r="A859" s="5">
        <v>798</v>
      </c>
      <c r="B859" s="138">
        <f>'Expenditures 15-22'!E64</f>
        <v>14718</v>
      </c>
      <c r="D859" s="2" t="str">
        <f t="shared" si="12"/>
        <v>Error?</v>
      </c>
    </row>
    <row r="860" spans="1:4" x14ac:dyDescent="0.2">
      <c r="A860" s="10">
        <v>799</v>
      </c>
      <c r="D860" s="2" t="str">
        <f t="shared" si="12"/>
        <v>OK</v>
      </c>
    </row>
    <row r="861" spans="1:4" x14ac:dyDescent="0.2">
      <c r="A861" s="5">
        <v>800</v>
      </c>
      <c r="B861" s="138">
        <f>'Expenditures 15-22'!E65</f>
        <v>62636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148588</v>
      </c>
      <c r="C871" s="2" t="s">
        <v>573</v>
      </c>
      <c r="D871" s="2" t="str">
        <f t="shared" si="12"/>
        <v>Error?</v>
      </c>
    </row>
    <row r="872" spans="1:4" x14ac:dyDescent="0.2">
      <c r="A872" s="5">
        <v>811</v>
      </c>
      <c r="B872" s="138">
        <f>'Expenditures 15-22'!E75</f>
        <v>554</v>
      </c>
      <c r="D872" s="2" t="str">
        <f t="shared" si="12"/>
        <v>Error?</v>
      </c>
    </row>
    <row r="873" spans="1:4" x14ac:dyDescent="0.2">
      <c r="A873" s="5">
        <v>812</v>
      </c>
      <c r="B873" s="138">
        <f>'Expenditures 15-22'!E114</f>
        <v>1734361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79441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45952</v>
      </c>
      <c r="D891" s="2" t="str">
        <f t="shared" si="12"/>
        <v>Error?</v>
      </c>
    </row>
    <row r="892" spans="1:4" x14ac:dyDescent="0.2">
      <c r="A892" s="5">
        <v>831</v>
      </c>
      <c r="B892" s="138">
        <f>'Expenditures 15-22'!F14</f>
        <v>3733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209348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9312</v>
      </c>
      <c r="D896" s="2" t="str">
        <f t="shared" si="13"/>
        <v>Error?</v>
      </c>
    </row>
    <row r="897" spans="1:4" x14ac:dyDescent="0.2">
      <c r="A897" s="5">
        <v>836</v>
      </c>
      <c r="B897" s="138">
        <f>'Expenditures 15-22'!F38</f>
        <v>2930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12242</v>
      </c>
      <c r="C901" s="2" t="s">
        <v>573</v>
      </c>
      <c r="D901" s="2" t="str">
        <f t="shared" si="13"/>
        <v>Error?</v>
      </c>
    </row>
    <row r="902" spans="1:4" x14ac:dyDescent="0.2">
      <c r="A902" s="5">
        <v>841</v>
      </c>
      <c r="B902" s="138">
        <f>'Expenditures 15-22'!F44</f>
        <v>100</v>
      </c>
      <c r="D902" s="2" t="str">
        <f t="shared" si="13"/>
        <v>Error?</v>
      </c>
    </row>
    <row r="903" spans="1:4" x14ac:dyDescent="0.2">
      <c r="A903" s="5">
        <v>842</v>
      </c>
      <c r="B903" s="138">
        <f>'Expenditures 15-22'!F45</f>
        <v>180382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180482</v>
      </c>
      <c r="C905" s="2" t="s">
        <v>573</v>
      </c>
      <c r="D905" s="2" t="str">
        <f t="shared" si="13"/>
        <v>Error?</v>
      </c>
    </row>
    <row r="906" spans="1:4" x14ac:dyDescent="0.2">
      <c r="A906" s="5">
        <v>845</v>
      </c>
      <c r="B906" s="138">
        <f>'Expenditures 15-22'!F49</f>
        <v>4647</v>
      </c>
      <c r="D906" s="2" t="str">
        <f t="shared" si="13"/>
        <v>Error?</v>
      </c>
    </row>
    <row r="907" spans="1:4" x14ac:dyDescent="0.2">
      <c r="A907" s="5">
        <v>846</v>
      </c>
      <c r="B907" s="138">
        <f>'Expenditures 15-22'!F50</f>
        <v>4159</v>
      </c>
      <c r="D907" s="2" t="str">
        <f t="shared" si="13"/>
        <v>Error?</v>
      </c>
    </row>
    <row r="908" spans="1:4" x14ac:dyDescent="0.2">
      <c r="A908" s="5">
        <v>847</v>
      </c>
      <c r="B908" s="138">
        <f>'Expenditures 15-22'!F53</f>
        <v>8806</v>
      </c>
      <c r="C908" s="2" t="s">
        <v>573</v>
      </c>
      <c r="D908" s="2" t="str">
        <f t="shared" si="13"/>
        <v>Error?</v>
      </c>
    </row>
    <row r="909" spans="1:4" x14ac:dyDescent="0.2">
      <c r="A909" s="5">
        <v>848</v>
      </c>
      <c r="B909" s="138">
        <f>'Expenditures 15-22'!F55</f>
        <v>395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266953</v>
      </c>
      <c r="D916" s="2" t="str">
        <f t="shared" si="13"/>
        <v>Error?</v>
      </c>
    </row>
    <row r="917" spans="1:4" x14ac:dyDescent="0.2">
      <c r="A917" s="5">
        <v>856</v>
      </c>
      <c r="B917" s="138">
        <f>'Expenditures 15-22'!F64</f>
        <v>883</v>
      </c>
      <c r="D917" s="2" t="str">
        <f t="shared" si="13"/>
        <v>Error?</v>
      </c>
    </row>
    <row r="918" spans="1:4" x14ac:dyDescent="0.2">
      <c r="A918" s="10">
        <v>857</v>
      </c>
      <c r="D918" s="2" t="str">
        <f t="shared" si="13"/>
        <v>OK</v>
      </c>
    </row>
    <row r="919" spans="1:4" x14ac:dyDescent="0.2">
      <c r="A919" s="5">
        <v>858</v>
      </c>
      <c r="B919" s="138">
        <f>'Expenditures 15-22'!F65</f>
        <v>267857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469782</v>
      </c>
      <c r="C929" s="2" t="s">
        <v>573</v>
      </c>
      <c r="D929" s="2" t="str">
        <f t="shared" si="13"/>
        <v>Error?</v>
      </c>
    </row>
    <row r="930" spans="1:4" x14ac:dyDescent="0.2">
      <c r="A930" s="5">
        <v>869</v>
      </c>
      <c r="B930" s="138">
        <f>'Expenditures 15-22'!F75</f>
        <v>1270</v>
      </c>
      <c r="D930" s="2" t="str">
        <f t="shared" si="13"/>
        <v>Error?</v>
      </c>
    </row>
    <row r="931" spans="1:4" x14ac:dyDescent="0.2">
      <c r="A931" s="5">
        <v>870</v>
      </c>
      <c r="B931" s="138">
        <f>'Expenditures 15-22'!F114</f>
        <v>680400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530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530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35965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35965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6948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2432</v>
      </c>
      <c r="D974" s="2" t="str">
        <f t="shared" si="14"/>
        <v>Error?</v>
      </c>
    </row>
    <row r="975" spans="1:4" x14ac:dyDescent="0.2">
      <c r="A975" s="5">
        <v>914</v>
      </c>
      <c r="B975" s="138">
        <f>'Expenditures 15-22'!G64</f>
        <v>47784</v>
      </c>
      <c r="D975" s="2" t="str">
        <f t="shared" si="14"/>
        <v>Error?</v>
      </c>
    </row>
    <row r="976" spans="1:4" x14ac:dyDescent="0.2">
      <c r="A976" s="10">
        <v>915</v>
      </c>
      <c r="D976" s="2" t="str">
        <f t="shared" si="14"/>
        <v>OK</v>
      </c>
    </row>
    <row r="977" spans="1:4" x14ac:dyDescent="0.2">
      <c r="A977" s="5">
        <v>916</v>
      </c>
      <c r="B977" s="138">
        <f>'Expenditures 15-22'!G65</f>
        <v>57164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93659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93659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1201</v>
      </c>
      <c r="C995" s="9"/>
      <c r="D995" s="2" t="str">
        <f t="shared" si="14"/>
        <v>Error?</v>
      </c>
    </row>
    <row r="996" spans="1:4" x14ac:dyDescent="0.2">
      <c r="A996" s="5">
        <v>935</v>
      </c>
      <c r="B996" s="138">
        <f>'Expenditures 15-22'!H16</f>
        <v>1750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7453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134420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125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125</v>
      </c>
      <c r="C1021" s="2" t="s">
        <v>573</v>
      </c>
      <c r="D1021" s="2" t="str">
        <f t="shared" si="14"/>
        <v>Error?</v>
      </c>
    </row>
    <row r="1022" spans="1:4" x14ac:dyDescent="0.2">
      <c r="A1022" s="5">
        <v>961</v>
      </c>
      <c r="B1022" s="138">
        <f>'Expenditures 15-22'!H49</f>
        <v>13000</v>
      </c>
      <c r="D1022" s="2" t="str">
        <f t="shared" si="14"/>
        <v>Error?</v>
      </c>
    </row>
    <row r="1023" spans="1:4" x14ac:dyDescent="0.2">
      <c r="A1023" s="5">
        <v>962</v>
      </c>
      <c r="B1023" s="138">
        <f>'Expenditures 15-22'!H50</f>
        <v>1610</v>
      </c>
      <c r="D1023" s="2" t="str">
        <f t="shared" ref="D1023:D1086" si="15">IF(ISBLANK(B1023),"OK",IF(A1023-B1023=0,"OK","Error?"))</f>
        <v>Error?</v>
      </c>
    </row>
    <row r="1024" spans="1:4" x14ac:dyDescent="0.2">
      <c r="A1024" s="5">
        <v>963</v>
      </c>
      <c r="B1024" s="138">
        <f>'Expenditures 15-22'!H53</f>
        <v>14610</v>
      </c>
      <c r="C1024" s="2" t="s">
        <v>573</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15975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150884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4604617</v>
      </c>
      <c r="C1093" s="2" t="s">
        <v>573</v>
      </c>
      <c r="D1093" s="2" t="str">
        <f t="shared" si="16"/>
        <v>Error?</v>
      </c>
    </row>
    <row r="1094" spans="1:4" x14ac:dyDescent="0.2">
      <c r="A1094" s="5">
        <v>1033</v>
      </c>
      <c r="B1094" s="138">
        <f>'Expenditures 15-22'!K16</f>
        <v>1828</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279265</v>
      </c>
      <c r="C1105" s="2" t="s">
        <v>573</v>
      </c>
      <c r="D1105" s="2" t="str">
        <f t="shared" si="16"/>
        <v>Error?</v>
      </c>
    </row>
    <row r="1106" spans="1:4" x14ac:dyDescent="0.2">
      <c r="A1106" s="5">
        <v>1045</v>
      </c>
      <c r="B1106" s="138">
        <f>'Expenditures 15-22'!K14</f>
        <v>220332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5797144</v>
      </c>
      <c r="C1108" s="2" t="s">
        <v>573</v>
      </c>
      <c r="D1108" s="2" t="str">
        <f t="shared" si="16"/>
        <v>Error?</v>
      </c>
    </row>
    <row r="1109" spans="1:4" x14ac:dyDescent="0.2">
      <c r="A1109" s="5">
        <v>1048</v>
      </c>
      <c r="B1109" s="138">
        <f>'Expenditures 15-22'!K36</f>
        <v>64082</v>
      </c>
      <c r="C1109" s="2" t="s">
        <v>573</v>
      </c>
      <c r="D1109" s="2" t="str">
        <f t="shared" si="16"/>
        <v>Error?</v>
      </c>
    </row>
    <row r="1110" spans="1:4" x14ac:dyDescent="0.2">
      <c r="A1110" s="5">
        <v>1049</v>
      </c>
      <c r="B1110" s="138">
        <f>'Expenditures 15-22'!K37</f>
        <v>252078</v>
      </c>
      <c r="C1110" s="2" t="s">
        <v>573</v>
      </c>
      <c r="D1110" s="2" t="str">
        <f t="shared" si="16"/>
        <v>Error?</v>
      </c>
    </row>
    <row r="1111" spans="1:4" x14ac:dyDescent="0.2">
      <c r="A1111" s="5">
        <v>1050</v>
      </c>
      <c r="B1111" s="138">
        <f>'Expenditures 15-22'!K38</f>
        <v>155079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6705</v>
      </c>
      <c r="C1114" s="2" t="s">
        <v>573</v>
      </c>
      <c r="D1114" s="2" t="str">
        <f t="shared" si="16"/>
        <v>Error?</v>
      </c>
    </row>
    <row r="1115" spans="1:4" x14ac:dyDescent="0.2">
      <c r="A1115" s="5">
        <v>1054</v>
      </c>
      <c r="B1115" s="138">
        <f>'Expenditures 15-22'!K42</f>
        <v>477944</v>
      </c>
      <c r="C1115" s="2" t="s">
        <v>573</v>
      </c>
      <c r="D1115" s="2" t="str">
        <f t="shared" si="16"/>
        <v>Error?</v>
      </c>
    </row>
    <row r="1116" spans="1:4" x14ac:dyDescent="0.2">
      <c r="A1116" s="5">
        <v>1055</v>
      </c>
      <c r="B1116" s="138">
        <f>'Expenditures 15-22'!K44</f>
        <v>61369</v>
      </c>
      <c r="C1116" s="2" t="s">
        <v>573</v>
      </c>
      <c r="D1116" s="2" t="str">
        <f t="shared" si="16"/>
        <v>Error?</v>
      </c>
    </row>
    <row r="1117" spans="1:4" x14ac:dyDescent="0.2">
      <c r="A1117" s="5">
        <v>1056</v>
      </c>
      <c r="B1117" s="138">
        <f>'Expenditures 15-22'!K45</f>
        <v>519480</v>
      </c>
      <c r="C1117" s="2" t="s">
        <v>573</v>
      </c>
      <c r="D1117" s="2" t="str">
        <f t="shared" si="16"/>
        <v>Error?</v>
      </c>
    </row>
    <row r="1118" spans="1:4" x14ac:dyDescent="0.2">
      <c r="A1118" s="5">
        <v>1057</v>
      </c>
      <c r="B1118" s="138">
        <f>'Expenditures 15-22'!K46</f>
        <v>199</v>
      </c>
      <c r="C1118" s="2" t="s">
        <v>573</v>
      </c>
      <c r="D1118" s="2" t="str">
        <f t="shared" si="16"/>
        <v>Error?</v>
      </c>
    </row>
    <row r="1119" spans="1:4" x14ac:dyDescent="0.2">
      <c r="A1119" s="5">
        <v>1058</v>
      </c>
      <c r="B1119" s="138">
        <f>'Expenditures 15-22'!K47</f>
        <v>581048</v>
      </c>
      <c r="C1119" s="2" t="s">
        <v>573</v>
      </c>
      <c r="D1119" s="2" t="str">
        <f t="shared" si="16"/>
        <v>Error?</v>
      </c>
    </row>
    <row r="1120" spans="1:4" x14ac:dyDescent="0.2">
      <c r="A1120" s="5">
        <v>1059</v>
      </c>
      <c r="B1120" s="138">
        <f>'Expenditures 15-22'!K49</f>
        <v>67708</v>
      </c>
      <c r="C1120" s="2" t="s">
        <v>573</v>
      </c>
      <c r="D1120" s="2" t="str">
        <f t="shared" si="16"/>
        <v>Error?</v>
      </c>
    </row>
    <row r="1121" spans="1:4" x14ac:dyDescent="0.2">
      <c r="A1121" s="5">
        <v>1060</v>
      </c>
      <c r="B1121" s="138">
        <f>'Expenditures 15-22'!K50</f>
        <v>167117</v>
      </c>
      <c r="C1121" s="2" t="s">
        <v>573</v>
      </c>
      <c r="D1121" s="2" t="str">
        <f t="shared" si="16"/>
        <v>Error?</v>
      </c>
    </row>
    <row r="1122" spans="1:4" x14ac:dyDescent="0.2">
      <c r="A1122" s="5">
        <v>1061</v>
      </c>
      <c r="B1122" s="138">
        <f>'Expenditures 15-22'!K53</f>
        <v>244888</v>
      </c>
      <c r="C1122" s="2" t="s">
        <v>573</v>
      </c>
      <c r="D1122" s="2" t="str">
        <f t="shared" si="16"/>
        <v>Error?</v>
      </c>
    </row>
    <row r="1123" spans="1:4" x14ac:dyDescent="0.2">
      <c r="A1123" s="5">
        <v>1062</v>
      </c>
      <c r="B1123" s="138">
        <f>'Expenditures 15-22'!K55</f>
        <v>619654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619654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173138</v>
      </c>
      <c r="C1127" s="2" t="s">
        <v>573</v>
      </c>
      <c r="D1127" s="2" t="str">
        <f t="shared" si="16"/>
        <v>Error?</v>
      </c>
    </row>
    <row r="1128" spans="1:4" x14ac:dyDescent="0.2">
      <c r="A1128" s="5">
        <v>1067</v>
      </c>
      <c r="B1128" s="138">
        <f>'Expenditures 15-22'!K61</f>
        <v>6948</v>
      </c>
      <c r="C1128" s="2" t="s">
        <v>573</v>
      </c>
      <c r="D1128" s="2" t="str">
        <f t="shared" si="16"/>
        <v>Error?</v>
      </c>
    </row>
    <row r="1129" spans="1:4" x14ac:dyDescent="0.2">
      <c r="A1129" s="5">
        <v>1068</v>
      </c>
      <c r="B1129" s="138">
        <f>'Expenditures 15-22'!K62</f>
        <v>676</v>
      </c>
      <c r="C1129" s="2" t="s">
        <v>573</v>
      </c>
      <c r="D1129" s="2" t="str">
        <f t="shared" si="16"/>
        <v>Error?</v>
      </c>
    </row>
    <row r="1130" spans="1:4" x14ac:dyDescent="0.2">
      <c r="A1130" s="5">
        <v>1069</v>
      </c>
      <c r="B1130" s="138">
        <f>'Expenditures 15-22'!K63</f>
        <v>489303</v>
      </c>
      <c r="C1130" s="2" t="s">
        <v>573</v>
      </c>
      <c r="D1130" s="2" t="str">
        <f t="shared" si="16"/>
        <v>Error?</v>
      </c>
    </row>
    <row r="1131" spans="1:4" x14ac:dyDescent="0.2">
      <c r="A1131" s="5">
        <v>1070</v>
      </c>
      <c r="B1131" s="138">
        <f>'Expenditures 15-22'!K64</f>
        <v>63385</v>
      </c>
      <c r="C1131" s="2" t="s">
        <v>573</v>
      </c>
      <c r="D1131" s="2" t="str">
        <f t="shared" si="16"/>
        <v>Error?</v>
      </c>
    </row>
    <row r="1132" spans="1:4" x14ac:dyDescent="0.2">
      <c r="A1132" s="10">
        <v>1071</v>
      </c>
      <c r="D1132" s="2" t="str">
        <f t="shared" si="16"/>
        <v>OK</v>
      </c>
    </row>
    <row r="1133" spans="1:4" x14ac:dyDescent="0.2">
      <c r="A1133" s="5">
        <v>1072</v>
      </c>
      <c r="B1133" s="138">
        <f>'Expenditures 15-22'!K65</f>
        <v>733450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2656984</v>
      </c>
      <c r="C1143" s="2" t="s">
        <v>573</v>
      </c>
      <c r="D1143" s="2" t="str">
        <f t="shared" si="16"/>
        <v>Error?</v>
      </c>
    </row>
    <row r="1144" spans="1:4" x14ac:dyDescent="0.2">
      <c r="A1144" s="5">
        <v>1083</v>
      </c>
      <c r="B1144" s="138">
        <f>'Expenditures 15-22'!K75</f>
        <v>4024</v>
      </c>
      <c r="C1144" s="2" t="s">
        <v>573</v>
      </c>
      <c r="D1144" s="2" t="str">
        <f t="shared" si="16"/>
        <v>Error?</v>
      </c>
    </row>
    <row r="1145" spans="1:4" x14ac:dyDescent="0.2">
      <c r="A1145" s="5">
        <v>1084</v>
      </c>
      <c r="B1145" s="138">
        <f>'Expenditures 15-22'!K102</f>
        <v>1529792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9987944</v>
      </c>
      <c r="C1152" s="2" t="s">
        <v>573</v>
      </c>
      <c r="D1152" s="2" t="str">
        <f t="shared" si="17"/>
        <v>Error?</v>
      </c>
    </row>
    <row r="1153" spans="1:4" x14ac:dyDescent="0.2">
      <c r="A1153" s="5">
        <v>1092</v>
      </c>
      <c r="B1153" s="138">
        <f>'Expenditures 15-22'!K115</f>
        <v>367483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371239</v>
      </c>
      <c r="D1221" s="2" t="str">
        <f t="shared" si="18"/>
        <v>Error?</v>
      </c>
    </row>
    <row r="1222" spans="1:4" x14ac:dyDescent="0.2">
      <c r="A1222" s="10">
        <v>1161</v>
      </c>
      <c r="D1222" s="2" t="str">
        <f t="shared" si="18"/>
        <v>OK</v>
      </c>
    </row>
    <row r="1223" spans="1:4" x14ac:dyDescent="0.2">
      <c r="A1223" s="5">
        <v>1162</v>
      </c>
      <c r="B1223" s="138">
        <f>'Expenditures 15-22'!C127</f>
        <v>371239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371239</v>
      </c>
      <c r="C1225" s="2" t="s">
        <v>573</v>
      </c>
      <c r="D1225" s="2" t="str">
        <f t="shared" si="18"/>
        <v>Error?</v>
      </c>
    </row>
    <row r="1226" spans="1:4" x14ac:dyDescent="0.2">
      <c r="A1226" s="5">
        <v>1165</v>
      </c>
      <c r="B1226" s="138">
        <f>'Expenditures 15-22'!C151</f>
        <v>371239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58912</v>
      </c>
      <c r="D1229" s="2" t="str">
        <f t="shared" si="18"/>
        <v>Error?</v>
      </c>
    </row>
    <row r="1230" spans="1:4" x14ac:dyDescent="0.2">
      <c r="A1230" s="10">
        <v>1169</v>
      </c>
      <c r="D1230" s="2" t="str">
        <f t="shared" si="18"/>
        <v>OK</v>
      </c>
    </row>
    <row r="1231" spans="1:4" x14ac:dyDescent="0.2">
      <c r="A1231" s="5">
        <v>1170</v>
      </c>
      <c r="B1231" s="138">
        <f>'Expenditures 15-22'!D127</f>
        <v>58912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58912</v>
      </c>
      <c r="C1233" s="2" t="s">
        <v>573</v>
      </c>
      <c r="D1233" s="2" t="str">
        <f t="shared" si="18"/>
        <v>Error?</v>
      </c>
    </row>
    <row r="1234" spans="1:4" x14ac:dyDescent="0.2">
      <c r="A1234" s="5">
        <v>1173</v>
      </c>
      <c r="B1234" s="138">
        <f>'Expenditures 15-22'!D151</f>
        <v>58912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245574</v>
      </c>
      <c r="D1237" s="2" t="str">
        <f t="shared" si="18"/>
        <v>Error?</v>
      </c>
    </row>
    <row r="1238" spans="1:4" x14ac:dyDescent="0.2">
      <c r="A1238" s="10">
        <v>1177</v>
      </c>
      <c r="D1238" s="2" t="str">
        <f t="shared" si="18"/>
        <v>OK</v>
      </c>
    </row>
    <row r="1239" spans="1:4" x14ac:dyDescent="0.2">
      <c r="A1239" s="5">
        <v>1178</v>
      </c>
      <c r="B1239" s="138">
        <f>'Expenditures 15-22'!E127</f>
        <v>245924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245924</v>
      </c>
      <c r="C1241" s="2" t="s">
        <v>573</v>
      </c>
      <c r="D1241" s="2" t="str">
        <f t="shared" si="18"/>
        <v>Error?</v>
      </c>
    </row>
    <row r="1242" spans="1:4" x14ac:dyDescent="0.2">
      <c r="A1242" s="5">
        <v>1181</v>
      </c>
      <c r="B1242" s="138">
        <f>'Expenditures 15-22'!E151</f>
        <v>245924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370634</v>
      </c>
      <c r="D1245" s="2" t="str">
        <f t="shared" si="18"/>
        <v>Error?</v>
      </c>
    </row>
    <row r="1246" spans="1:4" x14ac:dyDescent="0.2">
      <c r="A1246" s="10">
        <v>1185</v>
      </c>
      <c r="D1246" s="2" t="str">
        <f t="shared" si="18"/>
        <v>OK</v>
      </c>
    </row>
    <row r="1247" spans="1:4" x14ac:dyDescent="0.2">
      <c r="A1247" s="5">
        <v>1186</v>
      </c>
      <c r="B1247" s="138">
        <f>'Expenditures 15-22'!F127</f>
        <v>375445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375445</v>
      </c>
      <c r="C1249" s="2" t="s">
        <v>573</v>
      </c>
      <c r="D1249" s="2" t="str">
        <f t="shared" si="18"/>
        <v>Error?</v>
      </c>
    </row>
    <row r="1250" spans="1:4" x14ac:dyDescent="0.2">
      <c r="A1250" s="5">
        <v>1189</v>
      </c>
      <c r="B1250" s="138">
        <f>'Expenditures 15-22'!F151</f>
        <v>375445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5414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5414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5414</v>
      </c>
      <c r="C1258" s="2" t="s">
        <v>573</v>
      </c>
      <c r="D1258" s="2" t="str">
        <f t="shared" si="18"/>
        <v>Error?</v>
      </c>
    </row>
    <row r="1259" spans="1:4" x14ac:dyDescent="0.2">
      <c r="A1259" s="5">
        <v>1198</v>
      </c>
      <c r="B1259" s="138">
        <f>'Expenditures 15-22'!G151</f>
        <v>5414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1051773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1056934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1056934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1056934</v>
      </c>
      <c r="C1288" s="2" t="s">
        <v>573</v>
      </c>
      <c r="D1288" s="2" t="str">
        <f t="shared" si="19"/>
        <v>Error?</v>
      </c>
    </row>
    <row r="1289" spans="1:4" x14ac:dyDescent="0.2">
      <c r="A1289" s="5">
        <v>1228</v>
      </c>
      <c r="B1289" s="138">
        <f>'Expenditures 15-22'!K152</f>
        <v>-53501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27094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977563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1004657</v>
      </c>
      <c r="C1317" s="2" t="s">
        <v>573</v>
      </c>
      <c r="D1317" s="2" t="str">
        <f t="shared" si="19"/>
        <v>Error?</v>
      </c>
    </row>
    <row r="1318" spans="1:4" x14ac:dyDescent="0.2">
      <c r="A1318" s="5">
        <v>1257</v>
      </c>
      <c r="B1318" s="138">
        <f>'Expenditures 15-22'!H174</f>
        <v>1004657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27094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977563</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1004657</v>
      </c>
      <c r="C1331" s="2" t="s">
        <v>573</v>
      </c>
      <c r="D1331" s="2" t="str">
        <f t="shared" si="19"/>
        <v>Error?</v>
      </c>
    </row>
    <row r="1332" spans="1:4" x14ac:dyDescent="0.2">
      <c r="A1332" s="5">
        <v>1271</v>
      </c>
      <c r="B1332" s="138">
        <f>'Expenditures 15-22'!K174</f>
        <v>1004657</v>
      </c>
      <c r="C1332" s="2" t="s">
        <v>573</v>
      </c>
      <c r="D1332" s="2" t="str">
        <f t="shared" si="19"/>
        <v>Error?</v>
      </c>
    </row>
    <row r="1333" spans="1:4" x14ac:dyDescent="0.2">
      <c r="A1333" s="5">
        <v>1272</v>
      </c>
      <c r="B1333" s="138">
        <f>'Expenditures 15-22'!K175</f>
        <v>-2</v>
      </c>
      <c r="C1333" s="2" t="s">
        <v>573</v>
      </c>
      <c r="D1333" s="2" t="str">
        <f t="shared" si="19"/>
        <v>Error?</v>
      </c>
    </row>
    <row r="1334" spans="1:4" x14ac:dyDescent="0.2">
      <c r="A1334" s="10">
        <v>1273</v>
      </c>
      <c r="D1334" s="2" t="str">
        <f t="shared" si="19"/>
        <v>OK</v>
      </c>
    </row>
    <row r="1335" spans="1:4" x14ac:dyDescent="0.2">
      <c r="A1335" s="5">
        <v>1274</v>
      </c>
      <c r="B1335" s="138">
        <f>'Expenditures 15-22'!C182</f>
        <v>433037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433037</v>
      </c>
      <c r="C1339" s="2" t="s">
        <v>573</v>
      </c>
      <c r="D1339" s="2" t="str">
        <f t="shared" si="19"/>
        <v>Error?</v>
      </c>
    </row>
    <row r="1340" spans="1:4" x14ac:dyDescent="0.2">
      <c r="A1340" s="5">
        <v>1279</v>
      </c>
      <c r="B1340" s="138">
        <f>'Expenditures 15-22'!C210</f>
        <v>433037</v>
      </c>
      <c r="C1340" s="2" t="s">
        <v>573</v>
      </c>
      <c r="D1340" s="2" t="str">
        <f t="shared" si="19"/>
        <v>Error?</v>
      </c>
    </row>
    <row r="1341" spans="1:4" x14ac:dyDescent="0.2">
      <c r="A1341" s="5">
        <v>1280</v>
      </c>
      <c r="B1341" s="138">
        <f>'Expenditures 15-22'!D182</f>
        <v>15347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15347</v>
      </c>
      <c r="C1345" s="2" t="s">
        <v>573</v>
      </c>
      <c r="D1345" s="2" t="str">
        <f t="shared" si="20"/>
        <v>Error?</v>
      </c>
    </row>
    <row r="1346" spans="1:4" x14ac:dyDescent="0.2">
      <c r="A1346" s="5">
        <v>1285</v>
      </c>
      <c r="B1346" s="138">
        <f>'Expenditures 15-22'!D210</f>
        <v>15347</v>
      </c>
      <c r="C1346" s="2" t="s">
        <v>573</v>
      </c>
      <c r="D1346" s="2" t="str">
        <f t="shared" si="20"/>
        <v>Error?</v>
      </c>
    </row>
    <row r="1347" spans="1:4" x14ac:dyDescent="0.2">
      <c r="A1347" s="5">
        <v>1286</v>
      </c>
      <c r="B1347" s="138">
        <f>'Expenditures 15-22'!E182</f>
        <v>24225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24225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24225</v>
      </c>
      <c r="C1353" s="2" t="s">
        <v>573</v>
      </c>
      <c r="D1353" s="2" t="str">
        <f t="shared" si="20"/>
        <v>Error?</v>
      </c>
    </row>
    <row r="1354" spans="1:4" x14ac:dyDescent="0.2">
      <c r="A1354" s="5">
        <v>1293</v>
      </c>
      <c r="B1354" s="138">
        <f>'Expenditures 15-22'!F182</f>
        <v>123651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123651</v>
      </c>
      <c r="C1358" s="2" t="s">
        <v>573</v>
      </c>
      <c r="D1358" s="2" t="str">
        <f t="shared" si="20"/>
        <v>Error?</v>
      </c>
    </row>
    <row r="1359" spans="1:4" x14ac:dyDescent="0.2">
      <c r="A1359" s="5">
        <v>1298</v>
      </c>
      <c r="B1359" s="138">
        <f>'Expenditures 15-22'!F210</f>
        <v>123651</v>
      </c>
      <c r="C1359" s="2" t="s">
        <v>573</v>
      </c>
      <c r="D1359" s="2" t="str">
        <f t="shared" si="20"/>
        <v>Error?</v>
      </c>
    </row>
    <row r="1360" spans="1:4" x14ac:dyDescent="0.2">
      <c r="A1360" s="5">
        <v>1299</v>
      </c>
      <c r="B1360" s="138">
        <f>'Expenditures 15-22'!G182</f>
        <v>157472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157472</v>
      </c>
      <c r="C1364" s="2" t="s">
        <v>573</v>
      </c>
      <c r="D1364" s="2" t="str">
        <f t="shared" si="20"/>
        <v>Error?</v>
      </c>
    </row>
    <row r="1365" spans="1:4" x14ac:dyDescent="0.2">
      <c r="A1365" s="5">
        <v>1304</v>
      </c>
      <c r="B1365" s="138">
        <f>'Expenditures 15-22'!G210</f>
        <v>157472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753732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753732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753732</v>
      </c>
      <c r="C1388" s="2" t="s">
        <v>573</v>
      </c>
      <c r="D1388" s="2" t="str">
        <f t="shared" si="20"/>
        <v>Error?</v>
      </c>
    </row>
    <row r="1389" spans="1:4" x14ac:dyDescent="0.2">
      <c r="A1389" s="5">
        <v>1328</v>
      </c>
      <c r="B1389" s="138">
        <f>'Expenditures 15-22'!K211</f>
        <v>-48908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2888</v>
      </c>
      <c r="D1407" s="2" t="str">
        <f t="shared" ref="D1407:D1470" si="21">IF(ISBLANK(B1407),"OK",IF(A1407-B1407=0,"OK","Error?"))</f>
        <v>Error?</v>
      </c>
    </row>
    <row r="1408" spans="1:4" x14ac:dyDescent="0.2">
      <c r="A1408" s="5">
        <v>1347</v>
      </c>
      <c r="B1408" s="138">
        <f>'Expenditures 15-22'!D223</f>
        <v>4170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92270</v>
      </c>
      <c r="C1410" s="2" t="s">
        <v>573</v>
      </c>
      <c r="D1410" s="2" t="str">
        <f t="shared" si="21"/>
        <v>Error?</v>
      </c>
    </row>
    <row r="1411" spans="1:4" x14ac:dyDescent="0.2">
      <c r="A1411" s="5">
        <v>1350</v>
      </c>
      <c r="B1411" s="138">
        <f>'Expenditures 15-22'!D232</f>
        <v>731</v>
      </c>
      <c r="D1411" s="2" t="str">
        <f t="shared" si="21"/>
        <v>Error?</v>
      </c>
    </row>
    <row r="1412" spans="1:4" x14ac:dyDescent="0.2">
      <c r="A1412" s="5">
        <v>1351</v>
      </c>
      <c r="B1412" s="138">
        <f>'Expenditures 15-22'!D233</f>
        <v>3373</v>
      </c>
      <c r="D1412" s="2" t="str">
        <f t="shared" si="21"/>
        <v>Error?</v>
      </c>
    </row>
    <row r="1413" spans="1:4" x14ac:dyDescent="0.2">
      <c r="A1413" s="5">
        <v>1352</v>
      </c>
      <c r="B1413" s="138">
        <f>'Expenditures 15-22'!D234</f>
        <v>1913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367</v>
      </c>
      <c r="D1416" s="2" t="str">
        <f t="shared" si="21"/>
        <v>Error?</v>
      </c>
    </row>
    <row r="1417" spans="1:4" x14ac:dyDescent="0.2">
      <c r="A1417" s="5">
        <v>1356</v>
      </c>
      <c r="B1417" s="138">
        <f>'Expenditures 15-22'!D238</f>
        <v>6384</v>
      </c>
      <c r="C1417" s="2" t="s">
        <v>573</v>
      </c>
      <c r="D1417" s="2" t="str">
        <f t="shared" si="21"/>
        <v>Error?</v>
      </c>
    </row>
    <row r="1418" spans="1:4" x14ac:dyDescent="0.2">
      <c r="A1418" s="5">
        <v>1357</v>
      </c>
      <c r="B1418" s="138">
        <f>'Expenditures 15-22'!D240</f>
        <v>532</v>
      </c>
      <c r="D1418" s="2" t="str">
        <f t="shared" si="21"/>
        <v>Error?</v>
      </c>
    </row>
    <row r="1419" spans="1:4" x14ac:dyDescent="0.2">
      <c r="A1419" s="5">
        <v>1358</v>
      </c>
      <c r="B1419" s="138">
        <f>'Expenditures 15-22'!D241</f>
        <v>33656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34188</v>
      </c>
      <c r="C1421" s="2" t="s">
        <v>573</v>
      </c>
      <c r="D1421" s="2" t="str">
        <f t="shared" si="21"/>
        <v>Error?</v>
      </c>
    </row>
    <row r="1422" spans="1:4" x14ac:dyDescent="0.2">
      <c r="A1422" s="5">
        <v>1361</v>
      </c>
      <c r="B1422" s="138">
        <f>'Expenditures 15-22'!D245</f>
        <v>5993</v>
      </c>
      <c r="D1422" s="2" t="str">
        <f t="shared" si="21"/>
        <v>Error?</v>
      </c>
    </row>
    <row r="1423" spans="1:4" x14ac:dyDescent="0.2">
      <c r="A1423" s="5">
        <v>1362</v>
      </c>
      <c r="B1423" s="138">
        <f>'Expenditures 15-22'!D246</f>
        <v>8353</v>
      </c>
      <c r="D1423" s="2" t="str">
        <f t="shared" si="21"/>
        <v>Error?</v>
      </c>
    </row>
    <row r="1424" spans="1:4" x14ac:dyDescent="0.2">
      <c r="A1424" s="5">
        <v>1363</v>
      </c>
      <c r="B1424" s="138">
        <f>'Expenditures 15-22'!D257</f>
        <v>15770</v>
      </c>
      <c r="C1424" s="2" t="s">
        <v>573</v>
      </c>
      <c r="D1424" s="2" t="str">
        <f t="shared" si="21"/>
        <v>Error?</v>
      </c>
    </row>
    <row r="1425" spans="1:4" x14ac:dyDescent="0.2">
      <c r="A1425" s="5">
        <v>1364</v>
      </c>
      <c r="B1425" s="138">
        <f>'Expenditures 15-22'!D259</f>
        <v>42733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42733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19887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63203</v>
      </c>
      <c r="D1431" s="2" t="str">
        <f t="shared" si="21"/>
        <v>Error?</v>
      </c>
    </row>
    <row r="1432" spans="1:4" x14ac:dyDescent="0.2">
      <c r="A1432" s="5">
        <v>1371</v>
      </c>
      <c r="B1432" s="138">
        <f>'Expenditures 15-22'!D267</f>
        <v>71860</v>
      </c>
      <c r="D1432" s="2" t="str">
        <f t="shared" si="21"/>
        <v>Error?</v>
      </c>
    </row>
    <row r="1433" spans="1:4" x14ac:dyDescent="0.2">
      <c r="A1433" s="5">
        <v>1372</v>
      </c>
      <c r="B1433" s="138">
        <f>'Expenditures 15-22'!D268</f>
        <v>31289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186239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285314</v>
      </c>
      <c r="C1446" s="2" t="s">
        <v>573</v>
      </c>
      <c r="D1446" s="2" t="str">
        <f t="shared" si="21"/>
        <v>Error?</v>
      </c>
    </row>
    <row r="1447" spans="1:4" x14ac:dyDescent="0.2">
      <c r="A1447" s="5">
        <v>1386</v>
      </c>
      <c r="B1447" s="138">
        <f>'Expenditures 15-22'!D280</f>
        <v>96</v>
      </c>
      <c r="D1447" s="2" t="str">
        <f t="shared" si="21"/>
        <v>Error?</v>
      </c>
    </row>
    <row r="1448" spans="1:4" x14ac:dyDescent="0.2">
      <c r="A1448" s="5">
        <v>1387</v>
      </c>
      <c r="B1448" s="138">
        <f>'Expenditures 15-22'!D295</f>
        <v>377680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2888</v>
      </c>
      <c r="C1471" s="2" t="s">
        <v>573</v>
      </c>
      <c r="D1471" s="2" t="str">
        <f t="shared" ref="D1471:D1534" si="22">IF(ISBLANK(B1471),"OK",IF(A1471-B1471=0,"OK","Error?"))</f>
        <v>Error?</v>
      </c>
    </row>
    <row r="1472" spans="1:4" x14ac:dyDescent="0.2">
      <c r="A1472" s="5">
        <v>1411</v>
      </c>
      <c r="B1472" s="138">
        <f>'Expenditures 15-22'!K223</f>
        <v>4170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92270</v>
      </c>
      <c r="C1474" s="2" t="s">
        <v>573</v>
      </c>
      <c r="D1474" s="2" t="str">
        <f t="shared" si="22"/>
        <v>Error?</v>
      </c>
    </row>
    <row r="1475" spans="1:4" x14ac:dyDescent="0.2">
      <c r="A1475" s="5">
        <v>1414</v>
      </c>
      <c r="B1475" s="138">
        <f>'Expenditures 15-22'!K232</f>
        <v>731</v>
      </c>
      <c r="C1475" s="2" t="s">
        <v>573</v>
      </c>
      <c r="D1475" s="2" t="str">
        <f t="shared" si="22"/>
        <v>Error?</v>
      </c>
    </row>
    <row r="1476" spans="1:4" x14ac:dyDescent="0.2">
      <c r="A1476" s="5">
        <v>1415</v>
      </c>
      <c r="B1476" s="138">
        <f>'Expenditures 15-22'!K233</f>
        <v>3373</v>
      </c>
      <c r="C1476" s="2" t="s">
        <v>573</v>
      </c>
      <c r="D1476" s="2" t="str">
        <f t="shared" si="22"/>
        <v>Error?</v>
      </c>
    </row>
    <row r="1477" spans="1:4" x14ac:dyDescent="0.2">
      <c r="A1477" s="5">
        <v>1416</v>
      </c>
      <c r="B1477" s="138">
        <f>'Expenditures 15-22'!K234</f>
        <v>1913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367</v>
      </c>
      <c r="C1480" s="2" t="s">
        <v>573</v>
      </c>
      <c r="D1480" s="2" t="str">
        <f t="shared" si="22"/>
        <v>Error?</v>
      </c>
    </row>
    <row r="1481" spans="1:4" x14ac:dyDescent="0.2">
      <c r="A1481" s="5">
        <v>1420</v>
      </c>
      <c r="B1481" s="138">
        <f>'Expenditures 15-22'!K238</f>
        <v>6384</v>
      </c>
      <c r="C1481" s="2" t="s">
        <v>573</v>
      </c>
      <c r="D1481" s="2" t="str">
        <f t="shared" si="22"/>
        <v>Error?</v>
      </c>
    </row>
    <row r="1482" spans="1:4" x14ac:dyDescent="0.2">
      <c r="A1482" s="5">
        <v>1421</v>
      </c>
      <c r="B1482" s="138">
        <f>'Expenditures 15-22'!K240</f>
        <v>532</v>
      </c>
      <c r="C1482" s="2" t="s">
        <v>573</v>
      </c>
      <c r="D1482" s="2" t="str">
        <f t="shared" si="22"/>
        <v>Error?</v>
      </c>
    </row>
    <row r="1483" spans="1:4" x14ac:dyDescent="0.2">
      <c r="A1483" s="5">
        <v>1422</v>
      </c>
      <c r="B1483" s="138">
        <f>'Expenditures 15-22'!K241</f>
        <v>33656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34188</v>
      </c>
      <c r="C1485" s="2" t="s">
        <v>573</v>
      </c>
      <c r="D1485" s="2" t="str">
        <f t="shared" si="22"/>
        <v>Error?</v>
      </c>
    </row>
    <row r="1486" spans="1:4" x14ac:dyDescent="0.2">
      <c r="A1486" s="5">
        <v>1425</v>
      </c>
      <c r="B1486" s="138">
        <f>'Expenditures 15-22'!K245</f>
        <v>5993</v>
      </c>
      <c r="C1486" s="2" t="s">
        <v>573</v>
      </c>
      <c r="D1486" s="2" t="str">
        <f t="shared" si="22"/>
        <v>Error?</v>
      </c>
    </row>
    <row r="1487" spans="1:4" x14ac:dyDescent="0.2">
      <c r="A1487" s="5">
        <v>1426</v>
      </c>
      <c r="B1487" s="138">
        <f>'Expenditures 15-22'!K246</f>
        <v>8353</v>
      </c>
      <c r="C1487" s="2" t="s">
        <v>573</v>
      </c>
      <c r="D1487" s="2" t="str">
        <f t="shared" si="22"/>
        <v>Error?</v>
      </c>
    </row>
    <row r="1488" spans="1:4" x14ac:dyDescent="0.2">
      <c r="A1488" s="5">
        <v>1427</v>
      </c>
      <c r="B1488" s="138">
        <f>'Expenditures 15-22'!K257</f>
        <v>15770</v>
      </c>
      <c r="C1488" s="2" t="s">
        <v>573</v>
      </c>
      <c r="D1488" s="2" t="str">
        <f t="shared" si="22"/>
        <v>Error?</v>
      </c>
    </row>
    <row r="1489" spans="1:4" x14ac:dyDescent="0.2">
      <c r="A1489" s="5">
        <v>1428</v>
      </c>
      <c r="B1489" s="138">
        <f>'Expenditures 15-22'!K259</f>
        <v>42733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42733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19887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63203</v>
      </c>
      <c r="C1495" s="2" t="s">
        <v>573</v>
      </c>
      <c r="D1495" s="2" t="str">
        <f t="shared" si="22"/>
        <v>Error?</v>
      </c>
    </row>
    <row r="1496" spans="1:4" x14ac:dyDescent="0.2">
      <c r="A1496" s="5">
        <v>1435</v>
      </c>
      <c r="B1496" s="138">
        <f>'Expenditures 15-22'!K267</f>
        <v>71860</v>
      </c>
      <c r="C1496" s="2" t="s">
        <v>573</v>
      </c>
      <c r="D1496" s="2" t="str">
        <f t="shared" si="22"/>
        <v>Error?</v>
      </c>
    </row>
    <row r="1497" spans="1:4" x14ac:dyDescent="0.2">
      <c r="A1497" s="5">
        <v>1436</v>
      </c>
      <c r="B1497" s="138">
        <f>'Expenditures 15-22'!K268</f>
        <v>31289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186239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285314</v>
      </c>
      <c r="C1510" s="2" t="s">
        <v>573</v>
      </c>
      <c r="D1510" s="2" t="str">
        <f t="shared" si="22"/>
        <v>Error?</v>
      </c>
    </row>
    <row r="1511" spans="1:4" x14ac:dyDescent="0.2">
      <c r="A1511" s="5">
        <v>1450</v>
      </c>
      <c r="B1511" s="138">
        <f>'Expenditures 15-22'!K280</f>
        <v>96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377680</v>
      </c>
      <c r="C1517" s="2" t="s">
        <v>573</v>
      </c>
      <c r="D1517" s="2" t="str">
        <f t="shared" si="22"/>
        <v>Error?</v>
      </c>
    </row>
    <row r="1518" spans="1:4" x14ac:dyDescent="0.2">
      <c r="A1518" s="5">
        <v>1457</v>
      </c>
      <c r="B1518" s="138">
        <f>'Expenditures 15-22'!K296</f>
        <v>28944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326037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326037</v>
      </c>
      <c r="C1547" s="2" t="s">
        <v>573</v>
      </c>
      <c r="D1547" s="2" t="str">
        <f t="shared" si="23"/>
        <v>Error?</v>
      </c>
    </row>
    <row r="1548" spans="1:4" x14ac:dyDescent="0.2">
      <c r="A1548" s="5">
        <v>1487</v>
      </c>
      <c r="B1548" s="138">
        <f>'Expenditures 15-22'!G312</f>
        <v>326037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326037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326037</v>
      </c>
      <c r="C1559" s="2" t="s">
        <v>573</v>
      </c>
      <c r="D1559" s="2" t="str">
        <f t="shared" si="23"/>
        <v>Error?</v>
      </c>
    </row>
    <row r="1560" spans="1:4" x14ac:dyDescent="0.2">
      <c r="A1560" s="5">
        <v>1499</v>
      </c>
      <c r="B1560" s="138">
        <f>'Expenditures 15-22'!K312</f>
        <v>326037</v>
      </c>
      <c r="C1560" s="2" t="s">
        <v>573</v>
      </c>
      <c r="D1560" s="2" t="str">
        <f t="shared" si="23"/>
        <v>Error?</v>
      </c>
    </row>
    <row r="1561" spans="1:4" x14ac:dyDescent="0.2">
      <c r="A1561" s="5">
        <v>1500</v>
      </c>
      <c r="B1561" s="138">
        <f>'Expenditures 15-22'!K313</f>
        <v>114012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3218845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3634112</v>
      </c>
      <c r="C1630" s="2" t="s">
        <v>573</v>
      </c>
      <c r="D1630" s="2" t="str">
        <f t="shared" si="24"/>
        <v>Error?</v>
      </c>
    </row>
    <row r="1631" spans="1:4" x14ac:dyDescent="0.2">
      <c r="A1631" s="5">
        <v>1570</v>
      </c>
      <c r="B1631" s="138">
        <f>'Acct Summary 7-8'!D79</f>
        <v>392148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338647</v>
      </c>
      <c r="C1644" s="2" t="s">
        <v>573</v>
      </c>
      <c r="D1644" s="2" t="str">
        <f t="shared" si="24"/>
        <v>Error?</v>
      </c>
    </row>
    <row r="1645" spans="1:4" x14ac:dyDescent="0.2">
      <c r="A1645" s="5">
        <v>1584</v>
      </c>
      <c r="B1645" s="138">
        <f>'Acct Summary 7-8'!E79</f>
        <v>141359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141357</v>
      </c>
      <c r="C1658" s="2" t="s">
        <v>573</v>
      </c>
      <c r="D1658" s="2" t="str">
        <f t="shared" si="24"/>
        <v>Error?</v>
      </c>
    </row>
    <row r="1659" spans="1:4" x14ac:dyDescent="0.2">
      <c r="A1659" s="5">
        <v>1598</v>
      </c>
      <c r="B1659" s="138">
        <f>'Acct Summary 7-8'!F79</f>
        <v>378679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329771</v>
      </c>
      <c r="C1672" s="2" t="s">
        <v>573</v>
      </c>
      <c r="D1672" s="2" t="str">
        <f t="shared" si="25"/>
        <v>Error?</v>
      </c>
    </row>
    <row r="1673" spans="1:4" x14ac:dyDescent="0.2">
      <c r="A1673" s="5">
        <v>1612</v>
      </c>
      <c r="B1673" s="138">
        <f>'Acct Summary 7-8'!G79</f>
        <v>107161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136105</v>
      </c>
      <c r="C1686" s="2" t="s">
        <v>573</v>
      </c>
      <c r="D1686" s="2" t="str">
        <f t="shared" si="25"/>
        <v>Error?</v>
      </c>
    </row>
    <row r="1687" spans="1:4" x14ac:dyDescent="0.2">
      <c r="A1687" s="5">
        <v>1626</v>
      </c>
      <c r="B1687" s="138">
        <f>'Acct Summary 7-8'!H79</f>
        <v>564874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678886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3263448</v>
      </c>
      <c r="C1744" s="2" t="s">
        <v>573</v>
      </c>
      <c r="D1744" s="2" t="str">
        <f t="shared" si="26"/>
        <v>Error?</v>
      </c>
    </row>
    <row r="1745" spans="1:5" x14ac:dyDescent="0.2">
      <c r="A1745" s="5">
        <v>1684</v>
      </c>
      <c r="B1745" s="138">
        <f>'Tax Sched 23'!B5</f>
        <v>757588</v>
      </c>
      <c r="C1745" s="2" t="s">
        <v>573</v>
      </c>
      <c r="D1745" s="2" t="str">
        <f t="shared" si="26"/>
        <v>Error?</v>
      </c>
    </row>
    <row r="1746" spans="1:5" x14ac:dyDescent="0.2">
      <c r="A1746" s="5">
        <v>1685</v>
      </c>
      <c r="B1746" s="138">
        <f>'Tax Sched 23'!B6</f>
        <v>990933</v>
      </c>
      <c r="C1746" s="2" t="s">
        <v>573</v>
      </c>
      <c r="D1746" s="2" t="str">
        <f t="shared" si="26"/>
        <v>Error?</v>
      </c>
    </row>
    <row r="1747" spans="1:5" x14ac:dyDescent="0.2">
      <c r="A1747" s="5">
        <v>1686</v>
      </c>
      <c r="B1747" s="138">
        <f>'Tax Sched 23'!B7</f>
        <v>317121</v>
      </c>
      <c r="C1747" s="2" t="s">
        <v>573</v>
      </c>
      <c r="D1747" s="2" t="str">
        <f t="shared" si="26"/>
        <v>Error?</v>
      </c>
    </row>
    <row r="1748" spans="1:5" x14ac:dyDescent="0.2">
      <c r="A1748" s="5">
        <v>1687</v>
      </c>
      <c r="B1748" s="138">
        <f>'Tax Sched 23'!B8</f>
        <v>155496</v>
      </c>
      <c r="C1748" s="2" t="s">
        <v>573</v>
      </c>
      <c r="D1748" s="2" t="str">
        <f t="shared" si="26"/>
        <v>Error?</v>
      </c>
    </row>
    <row r="1749" spans="1:5" x14ac:dyDescent="0.2">
      <c r="A1749" s="5">
        <v>1688</v>
      </c>
      <c r="B1749" s="138">
        <f>'Tax Sched 23'!B10</f>
        <v>5338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48568</v>
      </c>
      <c r="C1752" s="2" t="s">
        <v>573</v>
      </c>
      <c r="D1752" s="2" t="str">
        <f t="shared" si="26"/>
        <v>Error?</v>
      </c>
    </row>
    <row r="1753" spans="1:5" x14ac:dyDescent="0.2">
      <c r="A1753" s="5">
        <v>1692</v>
      </c>
      <c r="B1753" s="138">
        <f>'Tax Sched 23'!B12</f>
        <v>48568</v>
      </c>
      <c r="C1753" s="2" t="s">
        <v>573</v>
      </c>
      <c r="D1753" s="2" t="str">
        <f t="shared" si="26"/>
        <v>Error?</v>
      </c>
    </row>
    <row r="1754" spans="1:5" x14ac:dyDescent="0.2">
      <c r="A1754" s="5">
        <v>1693</v>
      </c>
      <c r="B1754" s="138">
        <f>'Tax Sched 23'!B14</f>
        <v>118488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5918736</v>
      </c>
      <c r="C1759" s="2" t="s">
        <v>573</v>
      </c>
      <c r="D1759" s="2" t="str">
        <f t="shared" si="26"/>
        <v>Error?</v>
      </c>
    </row>
    <row r="1760" spans="1:5" x14ac:dyDescent="0.2">
      <c r="A1760" s="5">
        <v>1699</v>
      </c>
      <c r="B1760" s="138">
        <f>'Tax Sched 23'!D4</f>
        <v>3263448</v>
      </c>
      <c r="C1760" s="2" t="s">
        <v>573</v>
      </c>
      <c r="D1760" s="2" t="str">
        <f t="shared" si="26"/>
        <v>Error?</v>
      </c>
    </row>
    <row r="1761" spans="1:5" x14ac:dyDescent="0.2">
      <c r="A1761" s="5">
        <v>1700</v>
      </c>
      <c r="B1761" s="138">
        <f>'Tax Sched 23'!D5</f>
        <v>757588</v>
      </c>
      <c r="C1761" s="2" t="s">
        <v>573</v>
      </c>
      <c r="D1761" s="2" t="str">
        <f t="shared" si="26"/>
        <v>Error?</v>
      </c>
    </row>
    <row r="1762" spans="1:5" s="8" customFormat="1" x14ac:dyDescent="0.2">
      <c r="A1762" s="5">
        <v>1701</v>
      </c>
      <c r="B1762" s="138">
        <f>'Tax Sched 23'!D6</f>
        <v>990933</v>
      </c>
      <c r="C1762" s="2" t="s">
        <v>573</v>
      </c>
      <c r="D1762" s="2" t="str">
        <f t="shared" si="26"/>
        <v>Error?</v>
      </c>
      <c r="E1762" s="9"/>
    </row>
    <row r="1763" spans="1:5" x14ac:dyDescent="0.2">
      <c r="A1763" s="5">
        <v>1702</v>
      </c>
      <c r="B1763" s="138">
        <f>'Tax Sched 23'!D7</f>
        <v>317121</v>
      </c>
      <c r="C1763" s="2" t="s">
        <v>573</v>
      </c>
      <c r="D1763" s="2" t="str">
        <f t="shared" si="26"/>
        <v>Error?</v>
      </c>
    </row>
    <row r="1764" spans="1:5" x14ac:dyDescent="0.2">
      <c r="A1764" s="5">
        <v>1703</v>
      </c>
      <c r="B1764" s="138">
        <f>'Tax Sched 23'!D8</f>
        <v>155496</v>
      </c>
      <c r="C1764" s="2" t="s">
        <v>573</v>
      </c>
      <c r="D1764" s="2" t="str">
        <f t="shared" si="26"/>
        <v>Error?</v>
      </c>
    </row>
    <row r="1765" spans="1:5" x14ac:dyDescent="0.2">
      <c r="A1765" s="5">
        <v>1704</v>
      </c>
      <c r="B1765" s="138">
        <f>'Tax Sched 23'!D10</f>
        <v>5338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48568</v>
      </c>
      <c r="C1768" s="2" t="s">
        <v>573</v>
      </c>
      <c r="D1768" s="2" t="str">
        <f t="shared" si="26"/>
        <v>Error?</v>
      </c>
    </row>
    <row r="1769" spans="1:5" x14ac:dyDescent="0.2">
      <c r="A1769" s="5">
        <v>1708</v>
      </c>
      <c r="B1769" s="138">
        <f>'Tax Sched 23'!D12</f>
        <v>48568</v>
      </c>
      <c r="C1769" s="2" t="s">
        <v>573</v>
      </c>
      <c r="D1769" s="2" t="str">
        <f t="shared" si="26"/>
        <v>Error?</v>
      </c>
    </row>
    <row r="1770" spans="1:5" x14ac:dyDescent="0.2">
      <c r="A1770" s="5">
        <v>1709</v>
      </c>
      <c r="B1770" s="138">
        <f>'Tax Sched 23'!D14</f>
        <v>118488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5918736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3400048</v>
      </c>
      <c r="C1792" s="2" t="s">
        <v>573</v>
      </c>
      <c r="D1792" s="2" t="str">
        <f t="shared" si="27"/>
        <v>Error?</v>
      </c>
    </row>
    <row r="1793" spans="1:4" x14ac:dyDescent="0.2">
      <c r="A1793" s="5">
        <v>1732</v>
      </c>
      <c r="B1793" s="138">
        <f>'Tax Sched 23'!F5</f>
        <v>783875</v>
      </c>
      <c r="C1793" s="2" t="s">
        <v>573</v>
      </c>
      <c r="D1793" s="2" t="str">
        <f t="shared" si="27"/>
        <v>Error?</v>
      </c>
    </row>
    <row r="1794" spans="1:4" x14ac:dyDescent="0.2">
      <c r="A1794" s="5">
        <v>1733</v>
      </c>
      <c r="B1794" s="138">
        <f>'Tax Sched 23'!F6</f>
        <v>1047535</v>
      </c>
      <c r="C1794" s="2" t="s">
        <v>573</v>
      </c>
      <c r="D1794" s="2" t="str">
        <f t="shared" si="27"/>
        <v>Error?</v>
      </c>
    </row>
    <row r="1795" spans="1:4" x14ac:dyDescent="0.2">
      <c r="A1795" s="5">
        <v>1734</v>
      </c>
      <c r="B1795" s="138">
        <f>'Tax Sched 23'!F7</f>
        <v>333155</v>
      </c>
      <c r="C1795" s="2" t="s">
        <v>573</v>
      </c>
      <c r="D1795" s="2" t="str">
        <f t="shared" si="27"/>
        <v>Error?</v>
      </c>
    </row>
    <row r="1796" spans="1:4" x14ac:dyDescent="0.2">
      <c r="A1796" s="5">
        <v>1735</v>
      </c>
      <c r="B1796" s="138">
        <f>'Tax Sched 23'!F8</f>
        <v>142083</v>
      </c>
      <c r="C1796" s="2" t="s">
        <v>573</v>
      </c>
      <c r="D1796" s="2" t="str">
        <f t="shared" si="27"/>
        <v>Error?</v>
      </c>
    </row>
    <row r="1797" spans="1:4" x14ac:dyDescent="0.2">
      <c r="A1797" s="5">
        <v>1736</v>
      </c>
      <c r="B1797" s="138">
        <f>'Tax Sched 23'!F10</f>
        <v>4901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14702</v>
      </c>
      <c r="C1800" s="2" t="s">
        <v>573</v>
      </c>
      <c r="D1800" s="2" t="str">
        <f t="shared" si="27"/>
        <v>Error?</v>
      </c>
    </row>
    <row r="1801" spans="1:4" x14ac:dyDescent="0.2">
      <c r="A1801" s="5">
        <v>1740</v>
      </c>
      <c r="B1801" s="138">
        <f>'Tax Sched 23'!F12</f>
        <v>78376</v>
      </c>
      <c r="C1801" s="2" t="s">
        <v>573</v>
      </c>
      <c r="D1801" s="2" t="str">
        <f t="shared" si="27"/>
        <v>Error?</v>
      </c>
    </row>
    <row r="1802" spans="1:4" x14ac:dyDescent="0.2">
      <c r="A1802" s="5">
        <v>1741</v>
      </c>
      <c r="B1802" s="138">
        <f>'Tax Sched 23'!F14</f>
        <v>122481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6137830</v>
      </c>
      <c r="C1807" s="2" t="s">
        <v>573</v>
      </c>
      <c r="D1807" s="2" t="str">
        <f t="shared" si="27"/>
        <v>Error?</v>
      </c>
    </row>
    <row r="1808" spans="1:4" x14ac:dyDescent="0.2">
      <c r="A1808" s="5">
        <v>1747</v>
      </c>
      <c r="B1808" s="138">
        <f>'Tax Sched 23'!E4</f>
        <v>3400048</v>
      </c>
      <c r="D1808" s="2" t="str">
        <f t="shared" si="27"/>
        <v>Error?</v>
      </c>
    </row>
    <row r="1809" spans="1:4" x14ac:dyDescent="0.2">
      <c r="A1809" s="5">
        <v>1748</v>
      </c>
      <c r="B1809" s="138">
        <f>'Tax Sched 23'!E5</f>
        <v>783875</v>
      </c>
      <c r="D1809" s="2" t="str">
        <f t="shared" si="27"/>
        <v>Error?</v>
      </c>
    </row>
    <row r="1810" spans="1:4" x14ac:dyDescent="0.2">
      <c r="A1810" s="5">
        <v>1749</v>
      </c>
      <c r="B1810" s="138">
        <f>'Tax Sched 23'!E6</f>
        <v>1047535</v>
      </c>
      <c r="D1810" s="2" t="str">
        <f t="shared" si="27"/>
        <v>Error?</v>
      </c>
    </row>
    <row r="1811" spans="1:4" x14ac:dyDescent="0.2">
      <c r="A1811" s="5">
        <v>1750</v>
      </c>
      <c r="B1811" s="138">
        <f>'Tax Sched 23'!E7</f>
        <v>333155</v>
      </c>
      <c r="D1811" s="2" t="str">
        <f t="shared" si="27"/>
        <v>Error?</v>
      </c>
    </row>
    <row r="1812" spans="1:4" x14ac:dyDescent="0.2">
      <c r="A1812" s="5">
        <v>1751</v>
      </c>
      <c r="B1812" s="138">
        <f>'Tax Sched 23'!E8</f>
        <v>142083</v>
      </c>
      <c r="D1812" s="2" t="str">
        <f t="shared" si="27"/>
        <v>Error?</v>
      </c>
    </row>
    <row r="1813" spans="1:4" x14ac:dyDescent="0.2">
      <c r="A1813" s="5">
        <v>1752</v>
      </c>
      <c r="B1813" s="138">
        <f>'Tax Sched 23'!E10</f>
        <v>4901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14702</v>
      </c>
      <c r="D1816" s="2" t="str">
        <f t="shared" si="27"/>
        <v>Error?</v>
      </c>
    </row>
    <row r="1817" spans="1:4" x14ac:dyDescent="0.2">
      <c r="A1817" s="5">
        <v>1756</v>
      </c>
      <c r="B1817" s="138">
        <f>'Tax Sched 23'!E12</f>
        <v>78376</v>
      </c>
      <c r="D1817" s="2" t="str">
        <f t="shared" si="27"/>
        <v>Error?</v>
      </c>
    </row>
    <row r="1818" spans="1:4" x14ac:dyDescent="0.2">
      <c r="A1818" s="5">
        <v>1757</v>
      </c>
      <c r="B1818" s="138">
        <f>'Tax Sched 23'!E14</f>
        <v>122481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6137830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3861000</v>
      </c>
      <c r="C1939" s="2" t="s">
        <v>573</v>
      </c>
      <c r="D1939" s="2" t="str">
        <f t="shared" si="29"/>
        <v>Error?</v>
      </c>
    </row>
    <row r="1940" spans="1:5" x14ac:dyDescent="0.2">
      <c r="A1940" s="5">
        <v>1879</v>
      </c>
      <c r="B1940" s="138">
        <f>'Short-Term Long-Term Debt 24'!F49</f>
        <v>47784</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118488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118488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118488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170329</v>
      </c>
      <c r="D2008" s="2" t="str">
        <f t="shared" si="30"/>
        <v>Error?</v>
      </c>
    </row>
    <row r="2009" spans="1:4" x14ac:dyDescent="0.2">
      <c r="A2009" s="5">
        <v>1948</v>
      </c>
      <c r="B2009" s="138">
        <f>'Cap Outlay Deprec 26'!C8</f>
        <v>25843044</v>
      </c>
      <c r="D2009" s="2" t="str">
        <f t="shared" si="30"/>
        <v>Error?</v>
      </c>
    </row>
    <row r="2010" spans="1:4" x14ac:dyDescent="0.2">
      <c r="A2010" s="5">
        <v>1949</v>
      </c>
      <c r="B2010" s="138">
        <f>'Cap Outlay Deprec 26'!C10</f>
        <v>181682</v>
      </c>
      <c r="D2010" s="2" t="str">
        <f t="shared" si="30"/>
        <v>Error?</v>
      </c>
    </row>
    <row r="2011" spans="1:4" x14ac:dyDescent="0.2">
      <c r="A2011" s="5">
        <v>1950</v>
      </c>
      <c r="B2011" s="138">
        <f>'Cap Outlay Deprec 26'!C12</f>
        <v>4125627</v>
      </c>
      <c r="D2011" s="2" t="str">
        <f t="shared" si="30"/>
        <v>Error?</v>
      </c>
    </row>
    <row r="2012" spans="1:4" x14ac:dyDescent="0.2">
      <c r="A2012" s="5">
        <v>1951</v>
      </c>
      <c r="B2012" s="138">
        <f>'Cap Outlay Deprec 26'!C13</f>
        <v>2751768</v>
      </c>
      <c r="D2012" s="2" t="str">
        <f t="shared" si="30"/>
        <v>Error?</v>
      </c>
    </row>
    <row r="2013" spans="1:4" x14ac:dyDescent="0.2">
      <c r="A2013" s="5">
        <v>1952</v>
      </c>
      <c r="B2013" s="138">
        <f>'Cap Outlay Deprec 26'!C16</f>
        <v>33072450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417009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92124</v>
      </c>
      <c r="D2017" s="2" t="str">
        <f t="shared" si="30"/>
        <v>Error?</v>
      </c>
    </row>
    <row r="2018" spans="1:4" x14ac:dyDescent="0.2">
      <c r="A2018" s="5">
        <v>1957</v>
      </c>
      <c r="B2018" s="138">
        <f>'Cap Outlay Deprec 26'!D13</f>
        <v>157472</v>
      </c>
      <c r="D2018" s="2" t="str">
        <f t="shared" si="30"/>
        <v>Error?</v>
      </c>
    </row>
    <row r="2019" spans="1:4" x14ac:dyDescent="0.2">
      <c r="A2019" s="5">
        <v>1958</v>
      </c>
      <c r="B2019" s="138">
        <f>'Cap Outlay Deprec 26'!D16</f>
        <v>666605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170329</v>
      </c>
      <c r="C2026" s="2" t="s">
        <v>573</v>
      </c>
      <c r="D2026" s="2" t="str">
        <f t="shared" si="30"/>
        <v>Error?</v>
      </c>
    </row>
    <row r="2027" spans="1:4" x14ac:dyDescent="0.2">
      <c r="A2027" s="5">
        <v>1966</v>
      </c>
      <c r="B2027" s="138">
        <f>'Cap Outlay Deprec 26'!F8</f>
        <v>26260053</v>
      </c>
      <c r="C2027" s="2" t="s">
        <v>573</v>
      </c>
      <c r="D2027" s="2" t="str">
        <f t="shared" si="30"/>
        <v>Error?</v>
      </c>
    </row>
    <row r="2028" spans="1:4" x14ac:dyDescent="0.2">
      <c r="A2028" s="5">
        <v>1967</v>
      </c>
      <c r="B2028" s="138">
        <f>'Cap Outlay Deprec 26'!F10</f>
        <v>181682</v>
      </c>
      <c r="C2028" s="2" t="s">
        <v>573</v>
      </c>
      <c r="D2028" s="2" t="str">
        <f t="shared" si="30"/>
        <v>Error?</v>
      </c>
    </row>
    <row r="2029" spans="1:4" x14ac:dyDescent="0.2">
      <c r="A2029" s="5">
        <v>1968</v>
      </c>
      <c r="B2029" s="138">
        <f>'Cap Outlay Deprec 26'!F12</f>
        <v>4217751</v>
      </c>
      <c r="C2029" s="2" t="s">
        <v>573</v>
      </c>
      <c r="D2029" s="2" t="str">
        <f t="shared" si="30"/>
        <v>Error?</v>
      </c>
    </row>
    <row r="2030" spans="1:4" x14ac:dyDescent="0.2">
      <c r="A2030" s="5">
        <v>1969</v>
      </c>
      <c r="B2030" s="138">
        <f>'Cap Outlay Deprec 26'!F13</f>
        <v>2909240</v>
      </c>
      <c r="C2030" s="2" t="s">
        <v>573</v>
      </c>
      <c r="D2030" s="2" t="str">
        <f t="shared" si="30"/>
        <v>Error?</v>
      </c>
    </row>
    <row r="2031" spans="1:4" x14ac:dyDescent="0.2">
      <c r="A2031" s="5">
        <v>1970</v>
      </c>
      <c r="B2031" s="138">
        <f>'Cap Outlay Deprec 26'!F16</f>
        <v>33739055</v>
      </c>
      <c r="C2031" s="2" t="s">
        <v>573</v>
      </c>
      <c r="D2031" s="2" t="str">
        <f t="shared" si="30"/>
        <v>Error?</v>
      </c>
    </row>
    <row r="2032" spans="1:4" x14ac:dyDescent="0.2">
      <c r="A2032" s="10">
        <v>1971</v>
      </c>
      <c r="D2032" s="2" t="str">
        <f t="shared" si="30"/>
        <v>OK</v>
      </c>
    </row>
    <row r="2033" spans="1:4" x14ac:dyDescent="0.2">
      <c r="A2033" s="5">
        <v>1972</v>
      </c>
      <c r="B2033" s="138">
        <f>'Cap Outlay Deprec 26'!H8</f>
        <v>10731220</v>
      </c>
      <c r="D2033" s="2" t="str">
        <f t="shared" si="30"/>
        <v>Error?</v>
      </c>
    </row>
    <row r="2034" spans="1:4" x14ac:dyDescent="0.2">
      <c r="A2034" s="5">
        <v>1973</v>
      </c>
      <c r="B2034" s="138">
        <f>'Cap Outlay Deprec 26'!H10</f>
        <v>181682</v>
      </c>
      <c r="D2034" s="2" t="str">
        <f t="shared" si="30"/>
        <v>Error?</v>
      </c>
    </row>
    <row r="2035" spans="1:4" x14ac:dyDescent="0.2">
      <c r="A2035" s="5">
        <v>1974</v>
      </c>
      <c r="B2035" s="138">
        <f>'Cap Outlay Deprec 26'!H12</f>
        <v>3467956</v>
      </c>
      <c r="D2035" s="2" t="str">
        <f t="shared" si="30"/>
        <v>Error?</v>
      </c>
    </row>
    <row r="2036" spans="1:4" x14ac:dyDescent="0.2">
      <c r="A2036" s="5">
        <v>1975</v>
      </c>
      <c r="B2036" s="138">
        <f>'Cap Outlay Deprec 26'!H13</f>
        <v>2586352</v>
      </c>
      <c r="D2036" s="2" t="str">
        <f t="shared" si="30"/>
        <v>Error?</v>
      </c>
    </row>
    <row r="2037" spans="1:4" x14ac:dyDescent="0.2">
      <c r="A2037" s="5">
        <v>1976</v>
      </c>
      <c r="B2037" s="138">
        <f>'Cap Outlay Deprec 26'!H16</f>
        <v>16967210</v>
      </c>
      <c r="C2037" s="2" t="s">
        <v>573</v>
      </c>
      <c r="D2037" s="2" t="str">
        <f t="shared" si="30"/>
        <v>Error?</v>
      </c>
    </row>
    <row r="2038" spans="1:4" x14ac:dyDescent="0.2">
      <c r="A2038" s="10">
        <v>1977</v>
      </c>
      <c r="D2038" s="2" t="str">
        <f t="shared" si="30"/>
        <v>OK</v>
      </c>
    </row>
    <row r="2039" spans="1:4" x14ac:dyDescent="0.2">
      <c r="A2039" s="5">
        <v>1978</v>
      </c>
      <c r="B2039" s="138">
        <f>'Cap Outlay Deprec 26'!I8</f>
        <v>312442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70373</v>
      </c>
      <c r="D2041" s="2" t="str">
        <f t="shared" si="30"/>
        <v>Error?</v>
      </c>
    </row>
    <row r="2042" spans="1:4" x14ac:dyDescent="0.2">
      <c r="A2042" s="5">
        <v>1981</v>
      </c>
      <c r="B2042" s="138">
        <f>'Cap Outlay Deprec 26'!I13</f>
        <v>120221</v>
      </c>
      <c r="D2042" s="2" t="str">
        <f t="shared" si="30"/>
        <v>Error?</v>
      </c>
    </row>
    <row r="2043" spans="1:4" x14ac:dyDescent="0.2">
      <c r="A2043" s="5">
        <v>1982</v>
      </c>
      <c r="B2043" s="138">
        <f>'Cap Outlay Deprec 26'!I16</f>
        <v>503036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11043662</v>
      </c>
      <c r="C2051" s="2" t="s">
        <v>573</v>
      </c>
      <c r="D2051" s="2" t="str">
        <f t="shared" si="31"/>
        <v>Error?</v>
      </c>
    </row>
    <row r="2052" spans="1:4" x14ac:dyDescent="0.2">
      <c r="A2052" s="5">
        <v>1991</v>
      </c>
      <c r="B2052" s="138">
        <f>'Cap Outlay Deprec 26'!K10</f>
        <v>181682</v>
      </c>
      <c r="C2052" s="2" t="s">
        <v>573</v>
      </c>
      <c r="D2052" s="2" t="str">
        <f t="shared" si="31"/>
        <v>Error?</v>
      </c>
    </row>
    <row r="2053" spans="1:4" x14ac:dyDescent="0.2">
      <c r="A2053" s="5">
        <v>1992</v>
      </c>
      <c r="B2053" s="138">
        <f>'Cap Outlay Deprec 26'!K12</f>
        <v>3538329</v>
      </c>
      <c r="C2053" s="2" t="s">
        <v>573</v>
      </c>
      <c r="D2053" s="2" t="str">
        <f t="shared" si="31"/>
        <v>Error?</v>
      </c>
    </row>
    <row r="2054" spans="1:4" x14ac:dyDescent="0.2">
      <c r="A2054" s="5">
        <v>1993</v>
      </c>
      <c r="B2054" s="138">
        <f>'Cap Outlay Deprec 26'!K13</f>
        <v>2706573</v>
      </c>
      <c r="C2054" s="2" t="s">
        <v>573</v>
      </c>
      <c r="D2054" s="2" t="str">
        <f t="shared" si="31"/>
        <v>Error?</v>
      </c>
    </row>
    <row r="2055" spans="1:4" x14ac:dyDescent="0.2">
      <c r="A2055" s="5">
        <v>1994</v>
      </c>
      <c r="B2055" s="138">
        <f>'Cap Outlay Deprec 26'!K16</f>
        <v>17470246</v>
      </c>
      <c r="C2055" s="2" t="s">
        <v>573</v>
      </c>
      <c r="D2055" s="2" t="str">
        <f t="shared" si="31"/>
        <v>Error?</v>
      </c>
    </row>
    <row r="2056" spans="1:4" x14ac:dyDescent="0.2">
      <c r="A2056" s="5">
        <v>1995</v>
      </c>
      <c r="B2056" s="138">
        <f>'Cap Outlay Deprec 26'!L5</f>
        <v>170329</v>
      </c>
      <c r="C2056" s="2" t="s">
        <v>573</v>
      </c>
      <c r="D2056" s="2" t="str">
        <f t="shared" si="31"/>
        <v>Error?</v>
      </c>
    </row>
    <row r="2057" spans="1:4" x14ac:dyDescent="0.2">
      <c r="A2057" s="5">
        <v>1996</v>
      </c>
      <c r="B2057" s="138">
        <f>'Cap Outlay Deprec 26'!L8</f>
        <v>15216391</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679422</v>
      </c>
      <c r="C2059" s="2" t="s">
        <v>573</v>
      </c>
      <c r="D2059" s="2" t="str">
        <f t="shared" si="31"/>
        <v>Error?</v>
      </c>
    </row>
    <row r="2060" spans="1:4" x14ac:dyDescent="0.2">
      <c r="A2060" s="5">
        <v>1999</v>
      </c>
      <c r="B2060" s="138">
        <f>'Cap Outlay Deprec 26'!L13</f>
        <v>202667</v>
      </c>
      <c r="C2060" s="2" t="s">
        <v>573</v>
      </c>
      <c r="D2060" s="2" t="str">
        <f t="shared" si="31"/>
        <v>Error?</v>
      </c>
    </row>
    <row r="2061" spans="1:4" x14ac:dyDescent="0.2">
      <c r="A2061" s="5">
        <v>2000</v>
      </c>
      <c r="B2061" s="138">
        <f>'Cap Outlay Deprec 26'!L16</f>
        <v>16268809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1529303</v>
      </c>
      <c r="C2088" s="2" t="s">
        <v>573</v>
      </c>
      <c r="D2088" s="2" t="str">
        <f t="shared" si="31"/>
        <v>Error?</v>
      </c>
    </row>
    <row r="2089" spans="1:4" x14ac:dyDescent="0.2">
      <c r="A2089" s="5">
        <v>2028</v>
      </c>
      <c r="B2089" s="138">
        <f>'Expenditures 15-22'!K92</f>
        <v>489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136105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141357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678886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4250935</v>
      </c>
      <c r="C2551" s="2" t="s">
        <v>573</v>
      </c>
      <c r="D2551" s="2" t="str">
        <f t="shared" si="38"/>
        <v>Error?</v>
      </c>
    </row>
    <row r="2552" spans="1:4" x14ac:dyDescent="0.2">
      <c r="A2552" s="10">
        <v>2491</v>
      </c>
      <c r="D2552" s="2" t="str">
        <f t="shared" si="38"/>
        <v>OK</v>
      </c>
    </row>
    <row r="2553" spans="1:4" x14ac:dyDescent="0.2">
      <c r="A2553" s="5">
        <v>2492</v>
      </c>
      <c r="B2553" s="138">
        <f>'Acct Summary 7-8'!C6</f>
        <v>5377132</v>
      </c>
      <c r="C2553" s="2" t="s">
        <v>573</v>
      </c>
      <c r="D2553" s="2" t="str">
        <f t="shared" si="38"/>
        <v>Error?</v>
      </c>
    </row>
    <row r="2554" spans="1:4" x14ac:dyDescent="0.2">
      <c r="A2554" s="5">
        <v>2493</v>
      </c>
      <c r="B2554" s="138">
        <f>'Acct Summary 7-8'!C7</f>
        <v>727360</v>
      </c>
      <c r="C2554" s="2" t="s">
        <v>573</v>
      </c>
      <c r="D2554" s="2" t="str">
        <f t="shared" si="38"/>
        <v>Error?</v>
      </c>
    </row>
    <row r="2555" spans="1:4" x14ac:dyDescent="0.2">
      <c r="A2555" s="5">
        <v>2494</v>
      </c>
      <c r="B2555" s="138">
        <f>'Acct Summary 7-8'!C8</f>
        <v>10355427</v>
      </c>
      <c r="C2555" s="2" t="s">
        <v>573</v>
      </c>
      <c r="D2555" s="2" t="str">
        <f t="shared" si="38"/>
        <v>Error?</v>
      </c>
    </row>
    <row r="2556" spans="1:4" x14ac:dyDescent="0.2">
      <c r="A2556" s="5">
        <v>2495</v>
      </c>
      <c r="B2556" s="138">
        <f>'Acct Summary 7-8'!C12</f>
        <v>5797144</v>
      </c>
      <c r="C2556" s="2" t="s">
        <v>573</v>
      </c>
      <c r="D2556" s="2" t="str">
        <f t="shared" si="38"/>
        <v>Error?</v>
      </c>
    </row>
    <row r="2557" spans="1:4" x14ac:dyDescent="0.2">
      <c r="A2557" s="5">
        <v>2496</v>
      </c>
      <c r="B2557" s="138">
        <f>'Acct Summary 7-8'!C13</f>
        <v>2656984</v>
      </c>
      <c r="C2557" s="2" t="s">
        <v>573</v>
      </c>
      <c r="D2557" s="2" t="str">
        <f t="shared" si="38"/>
        <v>Error?</v>
      </c>
    </row>
    <row r="2558" spans="1:4" x14ac:dyDescent="0.2">
      <c r="A2558" s="5">
        <v>2497</v>
      </c>
      <c r="B2558" s="138">
        <f>'Acct Summary 7-8'!C14</f>
        <v>4024</v>
      </c>
      <c r="C2558" s="2" t="s">
        <v>573</v>
      </c>
      <c r="D2558" s="2" t="str">
        <f t="shared" si="38"/>
        <v>Error?</v>
      </c>
    </row>
    <row r="2559" spans="1:4" x14ac:dyDescent="0.2">
      <c r="A2559" s="5">
        <v>2498</v>
      </c>
      <c r="B2559" s="138">
        <f>'Acct Summary 7-8'!C15</f>
        <v>1529792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9987944</v>
      </c>
      <c r="C2561" s="2" t="s">
        <v>573</v>
      </c>
      <c r="D2561" s="2" t="str">
        <f t="shared" si="39"/>
        <v>Error?</v>
      </c>
    </row>
    <row r="2562" spans="1:4" x14ac:dyDescent="0.2">
      <c r="A2562" s="5">
        <v>2501</v>
      </c>
      <c r="B2562" s="138">
        <f>'Acct Summary 7-8'!C20</f>
        <v>367483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803433</v>
      </c>
      <c r="C2564" s="2" t="s">
        <v>573</v>
      </c>
      <c r="D2564" s="2" t="str">
        <f t="shared" si="39"/>
        <v>Error?</v>
      </c>
    </row>
    <row r="2565" spans="1:4" x14ac:dyDescent="0.2">
      <c r="A2565" s="10">
        <v>2504</v>
      </c>
      <c r="D2565" s="2" t="str">
        <f t="shared" si="39"/>
        <v>OK</v>
      </c>
    </row>
    <row r="2566" spans="1:4" x14ac:dyDescent="0.2">
      <c r="A2566" s="5">
        <v>2505</v>
      </c>
      <c r="B2566" s="138">
        <f>'Acct Summary 7-8'!D6</f>
        <v>200000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1003433</v>
      </c>
      <c r="C2568" s="2" t="s">
        <v>573</v>
      </c>
      <c r="D2568" s="2" t="str">
        <f t="shared" si="39"/>
        <v>Error?</v>
      </c>
    </row>
    <row r="2569" spans="1:4" x14ac:dyDescent="0.2">
      <c r="A2569" s="5">
        <v>2508</v>
      </c>
      <c r="B2569" s="138">
        <f>'Acct Summary 7-8'!D13</f>
        <v>1056934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1056934</v>
      </c>
      <c r="C2573" s="2" t="s">
        <v>573</v>
      </c>
      <c r="D2573" s="2" t="str">
        <f t="shared" si="39"/>
        <v>Error?</v>
      </c>
    </row>
    <row r="2574" spans="1:4" x14ac:dyDescent="0.2">
      <c r="A2574" s="5">
        <v>2513</v>
      </c>
      <c r="B2574" s="138">
        <f>'Acct Summary 7-8'!D20</f>
        <v>-53501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331961</v>
      </c>
      <c r="C2591" s="2" t="s">
        <v>573</v>
      </c>
      <c r="D2591" s="2" t="str">
        <f t="shared" si="39"/>
        <v>Error?</v>
      </c>
    </row>
    <row r="2592" spans="1:4" x14ac:dyDescent="0.2">
      <c r="A2592" s="10">
        <v>2531</v>
      </c>
      <c r="D2592" s="2" t="str">
        <f t="shared" si="39"/>
        <v>OK</v>
      </c>
    </row>
    <row r="2593" spans="1:4" x14ac:dyDescent="0.2">
      <c r="A2593" s="5">
        <v>2532</v>
      </c>
      <c r="B2593" s="138">
        <f>'Acct Summary 7-8'!F6</f>
        <v>372863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704824</v>
      </c>
      <c r="C2595" s="2" t="s">
        <v>573</v>
      </c>
      <c r="D2595" s="2" t="str">
        <f t="shared" si="39"/>
        <v>Error?</v>
      </c>
    </row>
    <row r="2596" spans="1:4" x14ac:dyDescent="0.2">
      <c r="A2596" s="5">
        <v>2535</v>
      </c>
      <c r="B2596" s="138">
        <f>'Acct Summary 7-8'!F13</f>
        <v>753732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753732</v>
      </c>
      <c r="C2600" s="2" t="s">
        <v>573</v>
      </c>
      <c r="D2600" s="2" t="str">
        <f t="shared" si="39"/>
        <v>Error?</v>
      </c>
    </row>
    <row r="2601" spans="1:4" x14ac:dyDescent="0.2">
      <c r="A2601" s="5">
        <v>2540</v>
      </c>
      <c r="B2601" s="138">
        <f>'Acct Summary 7-8'!F20</f>
        <v>-48908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406624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406624</v>
      </c>
      <c r="C2606" s="2" t="s">
        <v>573</v>
      </c>
      <c r="D2606" s="2" t="str">
        <f t="shared" si="39"/>
        <v>Error?</v>
      </c>
    </row>
    <row r="2607" spans="1:4" x14ac:dyDescent="0.2">
      <c r="A2607" s="5">
        <v>2546</v>
      </c>
      <c r="B2607" s="138">
        <f>'Acct Summary 7-8'!G12</f>
        <v>92270</v>
      </c>
      <c r="C2607" s="2" t="s">
        <v>573</v>
      </c>
      <c r="D2607" s="2" t="str">
        <f t="shared" si="39"/>
        <v>Error?</v>
      </c>
    </row>
    <row r="2608" spans="1:4" x14ac:dyDescent="0.2">
      <c r="A2608" s="5">
        <v>2547</v>
      </c>
      <c r="B2608" s="138">
        <f>'Acct Summary 7-8'!G13</f>
        <v>285314</v>
      </c>
      <c r="C2608" s="2" t="s">
        <v>573</v>
      </c>
      <c r="D2608" s="2" t="str">
        <f t="shared" si="39"/>
        <v>Error?</v>
      </c>
    </row>
    <row r="2609" spans="1:4" x14ac:dyDescent="0.2">
      <c r="A2609" s="5">
        <v>2548</v>
      </c>
      <c r="B2609" s="138">
        <f>'Acct Summary 7-8'!G14</f>
        <v>96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377680</v>
      </c>
      <c r="C2612" s="2" t="s">
        <v>573</v>
      </c>
      <c r="D2612" s="2" t="str">
        <f t="shared" si="39"/>
        <v>Error?</v>
      </c>
    </row>
    <row r="2613" spans="1:4" x14ac:dyDescent="0.2">
      <c r="A2613" s="5">
        <v>2552</v>
      </c>
      <c r="B2613" s="138">
        <f>'Acct Summary 7-8'!G20</f>
        <v>28944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1004655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1004655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1004657</v>
      </c>
      <c r="C2634" s="2" t="s">
        <v>573</v>
      </c>
      <c r="D2634" s="2" t="str">
        <f t="shared" si="40"/>
        <v>Error?</v>
      </c>
    </row>
    <row r="2635" spans="1:4" x14ac:dyDescent="0.2">
      <c r="A2635" s="5">
        <v>2574</v>
      </c>
      <c r="B2635" s="138">
        <f>'Acct Summary 7-8'!E17</f>
        <v>1004657</v>
      </c>
      <c r="C2635" s="2" t="s">
        <v>573</v>
      </c>
      <c r="D2635" s="2" t="str">
        <f t="shared" si="40"/>
        <v>Error?</v>
      </c>
    </row>
    <row r="2636" spans="1:4" x14ac:dyDescent="0.2">
      <c r="A2636" s="5">
        <v>2575</v>
      </c>
      <c r="B2636" s="138">
        <f>'Acct Summary 7-8'!E20</f>
        <v>-2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440049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440049</v>
      </c>
      <c r="C2658" s="2" t="s">
        <v>573</v>
      </c>
      <c r="D2658" s="2" t="str">
        <f t="shared" si="40"/>
        <v>Error?</v>
      </c>
    </row>
    <row r="2659" spans="1:4" x14ac:dyDescent="0.2">
      <c r="A2659" s="5">
        <v>2598</v>
      </c>
      <c r="B2659" s="138">
        <f>'Acct Summary 7-8'!H13</f>
        <v>326037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326037</v>
      </c>
      <c r="C2661" s="2" t="s">
        <v>573</v>
      </c>
      <c r="D2661" s="2" t="str">
        <f t="shared" si="40"/>
        <v>Error?</v>
      </c>
    </row>
    <row r="2662" spans="1:4" x14ac:dyDescent="0.2">
      <c r="A2662" s="5">
        <v>2601</v>
      </c>
      <c r="B2662" s="138">
        <f>'Acct Summary 7-8'!H20</f>
        <v>114012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8072</v>
      </c>
      <c r="D2718" s="2" t="str">
        <f t="shared" si="41"/>
        <v>Error?</v>
      </c>
    </row>
    <row r="2719" spans="1:4" x14ac:dyDescent="0.2">
      <c r="A2719" s="5">
        <v>2658</v>
      </c>
      <c r="B2719" s="138">
        <f>'Expenditures 15-22'!D51</f>
        <v>1362</v>
      </c>
      <c r="D2719" s="2" t="str">
        <f t="shared" si="41"/>
        <v>Error?</v>
      </c>
    </row>
    <row r="2720" spans="1:4" x14ac:dyDescent="0.2">
      <c r="A2720" s="5">
        <v>2659</v>
      </c>
      <c r="B2720" s="138">
        <f>'Expenditures 15-22'!E51</f>
        <v>629</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10063</v>
      </c>
      <c r="C2724" s="2" t="s">
        <v>573</v>
      </c>
      <c r="D2724" s="2" t="str">
        <f t="shared" si="41"/>
        <v>Error?</v>
      </c>
    </row>
    <row r="2725" spans="1:4" x14ac:dyDescent="0.2">
      <c r="A2725" s="5">
        <v>2664</v>
      </c>
      <c r="B2725" s="138">
        <f>'Expenditures 15-22'!D247</f>
        <v>1424</v>
      </c>
      <c r="D2725" s="2" t="str">
        <f t="shared" si="41"/>
        <v>Error?</v>
      </c>
    </row>
    <row r="2726" spans="1:4" x14ac:dyDescent="0.2">
      <c r="A2726" s="5">
        <v>2665</v>
      </c>
      <c r="B2726" s="138">
        <f>'Expenditures 15-22'!K247</f>
        <v>1424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1529303</v>
      </c>
      <c r="C2789" s="2" t="s">
        <v>573</v>
      </c>
      <c r="D2789" s="2" t="str">
        <f t="shared" si="42"/>
        <v>Error?</v>
      </c>
    </row>
    <row r="2790" spans="1:4" x14ac:dyDescent="0.2">
      <c r="A2790" s="5">
        <v>2729</v>
      </c>
      <c r="B2790" s="138">
        <f>'Expenditures 15-22'!E102</f>
        <v>1529303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3890766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3949720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754330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1069273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3949720</v>
      </c>
      <c r="D2912" s="2" t="str">
        <f t="shared" si="44"/>
        <v>Error?</v>
      </c>
    </row>
    <row r="2913" spans="1:4" x14ac:dyDescent="0.2">
      <c r="A2913" s="5">
        <v>2852</v>
      </c>
      <c r="B2913" s="138">
        <f>'Assets-Liab 5-6'!I41</f>
        <v>3949720</v>
      </c>
      <c r="C2913" s="2" t="s">
        <v>573</v>
      </c>
      <c r="D2913" s="2" t="str">
        <f t="shared" si="44"/>
        <v>Error?</v>
      </c>
    </row>
    <row r="2914" spans="1:4" x14ac:dyDescent="0.2">
      <c r="A2914" s="5">
        <v>2853</v>
      </c>
      <c r="B2914" s="138">
        <f>'Assets-Liab 5-6'!L33</f>
        <v>1069273</v>
      </c>
      <c r="D2914" s="2" t="str">
        <f t="shared" si="44"/>
        <v>Error?</v>
      </c>
    </row>
    <row r="2915" spans="1:4" x14ac:dyDescent="0.2">
      <c r="A2915" s="10">
        <v>2854</v>
      </c>
      <c r="D2915" s="2" t="str">
        <f t="shared" si="44"/>
        <v>OK</v>
      </c>
    </row>
    <row r="2916" spans="1:4" x14ac:dyDescent="0.2">
      <c r="A2916" s="5">
        <v>2855</v>
      </c>
      <c r="B2916" s="138">
        <f>'Assets-Liab 5-6'!L34</f>
        <v>1069273</v>
      </c>
      <c r="C2916" s="2" t="s">
        <v>573</v>
      </c>
      <c r="D2916" s="2" t="str">
        <f t="shared" si="44"/>
        <v>Error?</v>
      </c>
    </row>
    <row r="2917" spans="1:4" x14ac:dyDescent="0.2">
      <c r="A2917" s="5">
        <v>2856</v>
      </c>
      <c r="B2917" s="138">
        <f>'Assets-Liab 5-6'!L41</f>
        <v>1069273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1529303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1529303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164598</v>
      </c>
      <c r="D3055" s="2" t="str">
        <f t="shared" si="46"/>
        <v>Error?</v>
      </c>
    </row>
    <row r="3056" spans="1:4" x14ac:dyDescent="0.2">
      <c r="A3056" s="5">
        <v>2995</v>
      </c>
      <c r="B3056" s="138">
        <f>'Expenditures 15-22'!D10</f>
        <v>49166</v>
      </c>
      <c r="D3056" s="2" t="str">
        <f t="shared" si="46"/>
        <v>Error?</v>
      </c>
    </row>
    <row r="3057" spans="1:4" x14ac:dyDescent="0.2">
      <c r="A3057" s="5">
        <v>2996</v>
      </c>
      <c r="B3057" s="138">
        <f>'Expenditures 15-22'!E10</f>
        <v>6246</v>
      </c>
      <c r="D3057" s="2" t="str">
        <f t="shared" si="46"/>
        <v>Error?</v>
      </c>
    </row>
    <row r="3058" spans="1:4" x14ac:dyDescent="0.2">
      <c r="A3058" s="5">
        <v>2997</v>
      </c>
      <c r="B3058" s="138">
        <f>'Expenditures 15-22'!F10</f>
        <v>57616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277626</v>
      </c>
      <c r="C3062" s="2" t="s">
        <v>573</v>
      </c>
      <c r="D3062" s="2" t="str">
        <f t="shared" si="46"/>
        <v>Error?</v>
      </c>
    </row>
    <row r="3063" spans="1:4" x14ac:dyDescent="0.2">
      <c r="A3063" s="10">
        <v>3002</v>
      </c>
      <c r="D3063" s="2" t="str">
        <f t="shared" si="46"/>
        <v>OK</v>
      </c>
    </row>
    <row r="3064" spans="1:4" x14ac:dyDescent="0.2">
      <c r="A3064" s="5">
        <v>3003</v>
      </c>
      <c r="B3064" s="138">
        <f>'Expenditures 15-22'!D219</f>
        <v>10325</v>
      </c>
      <c r="D3064" s="2" t="str">
        <f t="shared" si="46"/>
        <v>Error?</v>
      </c>
    </row>
    <row r="3065" spans="1:4" x14ac:dyDescent="0.2">
      <c r="A3065" s="5">
        <v>3004</v>
      </c>
      <c r="B3065" s="138">
        <f>'Expenditures 15-22'!K219</f>
        <v>10325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52924</v>
      </c>
      <c r="C3225" s="2" t="s">
        <v>573</v>
      </c>
      <c r="D3225" s="2" t="str">
        <f t="shared" si="49"/>
        <v>Error?</v>
      </c>
    </row>
    <row r="3226" spans="1:4" x14ac:dyDescent="0.2">
      <c r="A3226" s="5">
        <v>3165</v>
      </c>
      <c r="B3226" s="138">
        <f>'Acct Summary 7-8'!I8</f>
        <v>52924</v>
      </c>
      <c r="C3226" s="2" t="s">
        <v>573</v>
      </c>
      <c r="D3226" s="2" t="str">
        <f t="shared" si="49"/>
        <v>Error?</v>
      </c>
    </row>
    <row r="3227" spans="1:4" x14ac:dyDescent="0.2">
      <c r="A3227" s="5">
        <v>3166</v>
      </c>
      <c r="B3227" s="138">
        <f>'Acct Summary 7-8'!I20</f>
        <v>52924</v>
      </c>
      <c r="C3227" s="2" t="s">
        <v>573</v>
      </c>
      <c r="D3227" s="2" t="str">
        <f t="shared" si="49"/>
        <v>Error?</v>
      </c>
    </row>
    <row r="3228" spans="1:4" x14ac:dyDescent="0.2">
      <c r="A3228" s="5">
        <v>3167</v>
      </c>
      <c r="B3228" s="138">
        <f>'Acct Summary 7-8'!C43</f>
        <v>47784</v>
      </c>
      <c r="D3228" s="2" t="str">
        <f t="shared" si="49"/>
        <v>Error?</v>
      </c>
    </row>
    <row r="3229" spans="1:4" x14ac:dyDescent="0.2">
      <c r="A3229" s="5">
        <v>3168</v>
      </c>
      <c r="B3229" s="138">
        <f>'Acct Summary 7-8'!C44</f>
        <v>47784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47784</v>
      </c>
      <c r="C3232" s="2" t="s">
        <v>573</v>
      </c>
      <c r="D3232" s="2" t="str">
        <f t="shared" si="49"/>
        <v>Error?</v>
      </c>
    </row>
    <row r="3233" spans="1:4" x14ac:dyDescent="0.2">
      <c r="A3233" s="5">
        <v>3172</v>
      </c>
      <c r="B3233" s="138">
        <f>'Acct Summary 7-8'!C78</f>
        <v>415267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-53501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-48908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28944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114012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52924</v>
      </c>
      <c r="C3320" s="2" t="s">
        <v>573</v>
      </c>
      <c r="D3320" s="2" t="str">
        <f t="shared" si="50"/>
        <v>Error?</v>
      </c>
    </row>
    <row r="3321" spans="1:4" x14ac:dyDescent="0.2">
      <c r="A3321" s="5">
        <v>3260</v>
      </c>
      <c r="B3321" s="138">
        <f>'Acct Summary 7-8'!I79</f>
        <v>3896796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3949720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30785</v>
      </c>
      <c r="D3366" s="2" t="str">
        <f t="shared" si="51"/>
        <v>Error?</v>
      </c>
    </row>
    <row r="3367" spans="1:4" x14ac:dyDescent="0.2">
      <c r="A3367" s="5">
        <v>3306</v>
      </c>
      <c r="B3367" s="138">
        <f>'Expenditures 15-22'!C19</f>
        <v>9234</v>
      </c>
      <c r="D3367" s="2" t="str">
        <f t="shared" si="51"/>
        <v>Error?</v>
      </c>
    </row>
    <row r="3368" spans="1:4" x14ac:dyDescent="0.2">
      <c r="A3368" s="5">
        <v>3307</v>
      </c>
      <c r="B3368" s="138">
        <f>'Expenditures 15-22'!D8</f>
        <v>513</v>
      </c>
      <c r="D3368" s="2" t="str">
        <f t="shared" si="51"/>
        <v>Error?</v>
      </c>
    </row>
    <row r="3369" spans="1:4" x14ac:dyDescent="0.2">
      <c r="A3369" s="5">
        <v>3308</v>
      </c>
      <c r="B3369" s="138">
        <f>'Expenditures 15-22'!D19</f>
        <v>220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31864</v>
      </c>
      <c r="C3380" s="2" t="s">
        <v>573</v>
      </c>
      <c r="D3380" s="2" t="str">
        <f t="shared" si="51"/>
        <v>Error?</v>
      </c>
    </row>
    <row r="3381" spans="1:4" x14ac:dyDescent="0.2">
      <c r="A3381" s="5">
        <v>3320</v>
      </c>
      <c r="B3381" s="138">
        <f>'Expenditures 15-22'!K19</f>
        <v>9454</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68122</v>
      </c>
      <c r="D3387" s="2" t="str">
        <f t="shared" si="51"/>
        <v>Error?</v>
      </c>
    </row>
    <row r="3388" spans="1:4" x14ac:dyDescent="0.2">
      <c r="A3388" s="5">
        <v>3327</v>
      </c>
      <c r="B3388" s="138">
        <f>'Expenditures 15-22'!D217</f>
        <v>1339</v>
      </c>
      <c r="D3388" s="2" t="str">
        <f t="shared" si="51"/>
        <v>Error?</v>
      </c>
    </row>
    <row r="3389" spans="1:4" x14ac:dyDescent="0.2">
      <c r="A3389" s="5">
        <v>3328</v>
      </c>
      <c r="B3389" s="138">
        <f>'Expenditures 15-22'!D228</f>
        <v>378</v>
      </c>
      <c r="D3389" s="2" t="str">
        <f t="shared" si="51"/>
        <v>Error?</v>
      </c>
    </row>
    <row r="3390" spans="1:4" x14ac:dyDescent="0.2">
      <c r="A3390" s="5">
        <v>3329</v>
      </c>
      <c r="B3390" s="138">
        <f>'Expenditures 15-22'!K215</f>
        <v>68122</v>
      </c>
      <c r="C3390" s="2" t="s">
        <v>573</v>
      </c>
      <c r="D3390" s="2" t="str">
        <f t="shared" si="51"/>
        <v>Error?</v>
      </c>
    </row>
    <row r="3391" spans="1:4" x14ac:dyDescent="0.2">
      <c r="A3391" s="5">
        <v>3330</v>
      </c>
      <c r="B3391" s="138">
        <f>'Expenditures 15-22'!K217</f>
        <v>1339</v>
      </c>
      <c r="C3391" s="2" t="s">
        <v>573</v>
      </c>
      <c r="D3391" s="2" t="str">
        <f t="shared" ref="D3391:D3454" si="52">IF(ISBLANK(B3391),"OK",IF(A3391-B3391=0,"OK","Error?"))</f>
        <v>Error?</v>
      </c>
    </row>
    <row r="3392" spans="1:4" x14ac:dyDescent="0.2">
      <c r="A3392" s="5">
        <v>3331</v>
      </c>
      <c r="B3392" s="138">
        <f>'Expenditures 15-22'!K228</f>
        <v>378</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1080799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171429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141357</v>
      </c>
      <c r="D3417" s="2" t="str">
        <f t="shared" si="52"/>
        <v>Error?</v>
      </c>
    </row>
    <row r="3418" spans="1:4" x14ac:dyDescent="0.2">
      <c r="A3418" s="10">
        <v>3357</v>
      </c>
      <c r="D3418" s="2" t="str">
        <f t="shared" si="52"/>
        <v>OK</v>
      </c>
    </row>
    <row r="3419" spans="1:4" x14ac:dyDescent="0.2">
      <c r="A3419" s="5">
        <v>3358</v>
      </c>
      <c r="B3419" s="138">
        <f>'Assets-Liab 5-6'!F4</f>
        <v>178630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136105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172162</v>
      </c>
      <c r="D3425" s="2" t="str">
        <f t="shared" si="52"/>
        <v>Error?</v>
      </c>
    </row>
    <row r="3426" spans="1:4" x14ac:dyDescent="0.2">
      <c r="A3426" s="10">
        <v>3365</v>
      </c>
      <c r="D3426" s="2" t="str">
        <f t="shared" si="52"/>
        <v>OK</v>
      </c>
    </row>
    <row r="3427" spans="1:4" x14ac:dyDescent="0.2">
      <c r="A3427" s="5">
        <v>3366</v>
      </c>
      <c r="B3427" s="138">
        <f>'Assets-Liab 5-6'!I4</f>
        <v>58954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314943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213188</v>
      </c>
      <c r="C3446" s="2" t="s">
        <v>573</v>
      </c>
      <c r="D3446" s="2" t="str">
        <f t="shared" si="52"/>
        <v>Error?</v>
      </c>
    </row>
    <row r="3447" spans="1:4" x14ac:dyDescent="0.2">
      <c r="A3447" s="5">
        <v>3386</v>
      </c>
      <c r="B3447" s="138">
        <f>'Tax Sched 23'!D16</f>
        <v>213188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210674</v>
      </c>
      <c r="C3449" s="2" t="s">
        <v>573</v>
      </c>
      <c r="D3449" s="2" t="str">
        <f t="shared" si="52"/>
        <v>Error?</v>
      </c>
    </row>
    <row r="3450" spans="1:4" x14ac:dyDescent="0.2">
      <c r="A3450" s="5">
        <v>3389</v>
      </c>
      <c r="B3450" s="138">
        <f>'Tax Sched 23'!E16</f>
        <v>210674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350</v>
      </c>
      <c r="D3484" s="2" t="str">
        <f t="shared" si="53"/>
        <v>Error?</v>
      </c>
    </row>
    <row r="3485" spans="1:4" x14ac:dyDescent="0.2">
      <c r="A3485" s="5">
        <v>3424</v>
      </c>
      <c r="B3485" s="138">
        <f>'Expenditures 15-22'!F125</f>
        <v>4811</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5161</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56140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147260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203400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203400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203400</v>
      </c>
      <c r="C3568" s="2" t="s">
        <v>573</v>
      </c>
      <c r="D3568" s="2" t="str">
        <f t="shared" si="54"/>
        <v>Error?</v>
      </c>
    </row>
    <row r="3569" spans="1:4" x14ac:dyDescent="0.2">
      <c r="A3569" s="5">
        <v>3508</v>
      </c>
      <c r="B3569" s="138">
        <f>'Acct Summary 7-8'!K4</f>
        <v>52269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52269</v>
      </c>
      <c r="C3571" s="2" t="s">
        <v>573</v>
      </c>
      <c r="D3571" s="2" t="str">
        <f t="shared" si="54"/>
        <v>Error?</v>
      </c>
    </row>
    <row r="3572" spans="1:4" x14ac:dyDescent="0.2">
      <c r="A3572" s="5">
        <v>3511</v>
      </c>
      <c r="B3572" s="138">
        <f>'Acct Summary 7-8'!K13</f>
        <v>85412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85412</v>
      </c>
      <c r="C3575" s="2" t="s">
        <v>573</v>
      </c>
      <c r="D3575" s="2" t="str">
        <f t="shared" si="54"/>
        <v>Error?</v>
      </c>
    </row>
    <row r="3576" spans="1:4" x14ac:dyDescent="0.2">
      <c r="A3576" s="5">
        <v>3515</v>
      </c>
      <c r="B3576" s="138">
        <f>'Acct Summary 7-8'!K20</f>
        <v>-33143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-33143</v>
      </c>
      <c r="C3588" s="2" t="s">
        <v>573</v>
      </c>
      <c r="D3588" s="2" t="str">
        <f t="shared" si="55"/>
        <v>Error?</v>
      </c>
    </row>
    <row r="3589" spans="1:4" x14ac:dyDescent="0.2">
      <c r="A3589" s="5">
        <v>3528</v>
      </c>
      <c r="B3589" s="138">
        <f>'Acct Summary 7-8'!K79</f>
        <v>236543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203400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1389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1389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1389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84023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84023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84023</v>
      </c>
      <c r="C3649" s="2" t="s">
        <v>573</v>
      </c>
      <c r="D3649" s="2" t="str">
        <f t="shared" si="56"/>
        <v>Error?</v>
      </c>
    </row>
    <row r="3650" spans="1:4" x14ac:dyDescent="0.2">
      <c r="A3650" s="5">
        <v>3589</v>
      </c>
      <c r="B3650" s="138">
        <f>'Expenditures 15-22'!G367</f>
        <v>84023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85412</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85412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85412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85412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-33143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258456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3802405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14157832</v>
      </c>
      <c r="C4122" s="2" t="s">
        <v>573</v>
      </c>
      <c r="D4122" s="2" t="str">
        <f t="shared" si="63"/>
        <v>Error?</v>
      </c>
    </row>
    <row r="4123" spans="1:4" x14ac:dyDescent="0.2">
      <c r="A4123" s="5">
        <v>4062</v>
      </c>
      <c r="B4123" s="138">
        <f>'Acct Summary 7-8'!D10</f>
        <v>1003433</v>
      </c>
      <c r="C4123" s="2" t="s">
        <v>573</v>
      </c>
      <c r="D4123" s="2" t="str">
        <f t="shared" si="63"/>
        <v>Error?</v>
      </c>
    </row>
    <row r="4124" spans="1:4" x14ac:dyDescent="0.2">
      <c r="A4124" s="5">
        <v>4063</v>
      </c>
      <c r="B4124" s="138">
        <f>'Acct Summary 7-8'!E10</f>
        <v>1004655</v>
      </c>
      <c r="C4124" s="2" t="s">
        <v>573</v>
      </c>
      <c r="D4124" s="2" t="str">
        <f t="shared" si="63"/>
        <v>Error?</v>
      </c>
    </row>
    <row r="4125" spans="1:4" x14ac:dyDescent="0.2">
      <c r="A4125" s="5">
        <v>4064</v>
      </c>
      <c r="B4125" s="138">
        <f>'Acct Summary 7-8'!F10</f>
        <v>704824</v>
      </c>
      <c r="C4125" s="2" t="s">
        <v>573</v>
      </c>
      <c r="D4125" s="2" t="str">
        <f t="shared" si="63"/>
        <v>Error?</v>
      </c>
    </row>
    <row r="4126" spans="1:4" x14ac:dyDescent="0.2">
      <c r="A4126" s="5">
        <v>4065</v>
      </c>
      <c r="B4126" s="138">
        <f>'Acct Summary 7-8'!G10</f>
        <v>406624</v>
      </c>
      <c r="C4126" s="2" t="s">
        <v>573</v>
      </c>
      <c r="D4126" s="2" t="str">
        <f t="shared" si="63"/>
        <v>Error?</v>
      </c>
    </row>
    <row r="4127" spans="1:4" x14ac:dyDescent="0.2">
      <c r="A4127" s="5">
        <v>4066</v>
      </c>
      <c r="B4127" s="138">
        <f>'Acct Summary 7-8'!H10</f>
        <v>440049</v>
      </c>
      <c r="C4127" s="2" t="s">
        <v>573</v>
      </c>
      <c r="D4127" s="2" t="str">
        <f t="shared" si="63"/>
        <v>Error?</v>
      </c>
    </row>
    <row r="4128" spans="1:4" x14ac:dyDescent="0.2">
      <c r="A4128" s="5">
        <v>4067</v>
      </c>
      <c r="B4128" s="138">
        <f>'Acct Summary 7-8'!I10</f>
        <v>52924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52269</v>
      </c>
      <c r="C4130" s="2" t="s">
        <v>573</v>
      </c>
      <c r="D4130" s="2" t="str">
        <f t="shared" si="63"/>
        <v>Error?</v>
      </c>
    </row>
    <row r="4131" spans="1:4" x14ac:dyDescent="0.2">
      <c r="A4131" s="5">
        <v>4070</v>
      </c>
      <c r="B4131" s="138">
        <f>'Acct Summary 7-8'!C18</f>
        <v>3802405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13790349</v>
      </c>
      <c r="C4136" s="2" t="s">
        <v>573</v>
      </c>
      <c r="D4136" s="2" t="str">
        <f t="shared" si="63"/>
        <v>Error?</v>
      </c>
    </row>
    <row r="4137" spans="1:4" x14ac:dyDescent="0.2">
      <c r="A4137" s="5">
        <v>4076</v>
      </c>
      <c r="B4137" s="138">
        <f>'Acct Summary 7-8'!D19</f>
        <v>1056934</v>
      </c>
      <c r="C4137" s="2" t="s">
        <v>573</v>
      </c>
      <c r="D4137" s="2" t="str">
        <f t="shared" si="63"/>
        <v>Error?</v>
      </c>
    </row>
    <row r="4138" spans="1:4" x14ac:dyDescent="0.2">
      <c r="A4138" s="5">
        <v>4077</v>
      </c>
      <c r="B4138" s="138">
        <f>'Acct Summary 7-8'!E19</f>
        <v>1004657</v>
      </c>
      <c r="C4138" s="2" t="s">
        <v>573</v>
      </c>
      <c r="D4138" s="2" t="str">
        <f t="shared" si="63"/>
        <v>Error?</v>
      </c>
    </row>
    <row r="4139" spans="1:4" x14ac:dyDescent="0.2">
      <c r="A4139" s="5">
        <v>4078</v>
      </c>
      <c r="B4139" s="138">
        <f>'Acct Summary 7-8'!F19</f>
        <v>753732</v>
      </c>
      <c r="C4139" s="2" t="s">
        <v>573</v>
      </c>
      <c r="D4139" s="2" t="str">
        <f t="shared" si="63"/>
        <v>Error?</v>
      </c>
    </row>
    <row r="4140" spans="1:4" x14ac:dyDescent="0.2">
      <c r="A4140" s="5">
        <v>4079</v>
      </c>
      <c r="B4140" s="138">
        <f>'Acct Summary 7-8'!G19</f>
        <v>377680</v>
      </c>
      <c r="C4140" s="2" t="s">
        <v>573</v>
      </c>
      <c r="D4140" s="2" t="str">
        <f t="shared" si="63"/>
        <v>Error?</v>
      </c>
    </row>
    <row r="4141" spans="1:4" x14ac:dyDescent="0.2">
      <c r="A4141" s="5">
        <v>4080</v>
      </c>
      <c r="B4141" s="138">
        <f>'Acct Summary 7-8'!H19</f>
        <v>326037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85412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2931221</v>
      </c>
      <c r="C4171" s="2" t="s">
        <v>573</v>
      </c>
      <c r="D4171" s="2" t="str">
        <f t="shared" si="64"/>
        <v>Error?</v>
      </c>
    </row>
    <row r="4172" spans="1:4" x14ac:dyDescent="0.2">
      <c r="A4172" s="5">
        <v>4111</v>
      </c>
      <c r="B4172" s="138">
        <f>'Short-Term Long-Term Debt 24'!J49</f>
        <v>2789864</v>
      </c>
      <c r="C4172" s="2" t="s">
        <v>573</v>
      </c>
      <c r="D4172" s="2" t="str">
        <f t="shared" si="64"/>
        <v>Error?</v>
      </c>
    </row>
    <row r="4173" spans="1:4" x14ac:dyDescent="0.2">
      <c r="A4173" s="5">
        <v>4112</v>
      </c>
      <c r="B4173" s="138">
        <f>'Short-Term Long-Term Debt 24'!H49</f>
        <v>977563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2143.89</v>
      </c>
      <c r="C4265" s="2" t="s">
        <v>573</v>
      </c>
      <c r="D4265" s="2" t="str">
        <f t="shared" si="65"/>
        <v>Error?</v>
      </c>
      <c r="E4265" s="128"/>
    </row>
    <row r="4266" spans="1:5" x14ac:dyDescent="0.2">
      <c r="A4266" s="12">
        <v>4205</v>
      </c>
      <c r="B4266" s="138">
        <f>('FP Info 3'!F10)*100000</f>
        <v>494.27000000000004</v>
      </c>
      <c r="C4266" s="2" t="s">
        <v>573</v>
      </c>
      <c r="D4266" s="2" t="str">
        <f t="shared" si="65"/>
        <v>Error?</v>
      </c>
      <c r="E4266" s="128"/>
    </row>
    <row r="4267" spans="1:5" x14ac:dyDescent="0.2">
      <c r="A4267" s="12">
        <v>4206</v>
      </c>
      <c r="B4267" s="138">
        <f>('FP Info 3'!H10)*100000</f>
        <v>210.07</v>
      </c>
      <c r="C4267" s="2" t="s">
        <v>573</v>
      </c>
      <c r="D4267" s="2" t="str">
        <f t="shared" si="65"/>
        <v>Error?</v>
      </c>
      <c r="E4267" s="128"/>
    </row>
    <row r="4268" spans="1:5" x14ac:dyDescent="0.2">
      <c r="A4268" s="12">
        <v>4207</v>
      </c>
      <c r="B4268" s="138">
        <f>('FP Info 3'!J10)*100000</f>
        <v>2848</v>
      </c>
      <c r="C4268" s="2" t="s">
        <v>573</v>
      </c>
      <c r="D4268" s="2" t="str">
        <f t="shared" si="65"/>
        <v>Error?</v>
      </c>
    </row>
    <row r="4269" spans="1:5" x14ac:dyDescent="0.2">
      <c r="A4269" s="12">
        <v>4208</v>
      </c>
      <c r="B4269" s="138">
        <f>'FP Info 3'!J16</f>
        <v>8252250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9506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23682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6364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49635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3.09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3699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158592476</v>
      </c>
      <c r="D4995" s="2" t="str">
        <f t="shared" si="77"/>
        <v>Error?</v>
      </c>
    </row>
    <row r="4996" spans="1:4" x14ac:dyDescent="0.2">
      <c r="A4996" s="12">
        <v>4935</v>
      </c>
      <c r="B4996" s="138">
        <f>'FP Info 3'!H31</f>
        <v>21885761.688000001</v>
      </c>
      <c r="D4996" s="2" t="str">
        <f t="shared" si="77"/>
        <v>Error?</v>
      </c>
    </row>
    <row r="4997" spans="1:4" x14ac:dyDescent="0.2">
      <c r="A4997" s="12">
        <v>4936</v>
      </c>
      <c r="B4997" s="138">
        <f>'FP Info 3'!H37</f>
        <v>2931221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3263448</v>
      </c>
      <c r="D5061" s="2" t="str">
        <f t="shared" si="78"/>
        <v>Error?</v>
      </c>
    </row>
    <row r="5062" spans="1:4" x14ac:dyDescent="0.2">
      <c r="A5062" s="10">
        <v>5001</v>
      </c>
      <c r="D5062" s="2" t="str">
        <f t="shared" si="78"/>
        <v>OK</v>
      </c>
    </row>
    <row r="5063" spans="1:4" x14ac:dyDescent="0.2">
      <c r="A5063" s="5">
        <v>5002</v>
      </c>
      <c r="B5063" s="138">
        <f>'Revenues 9-14'!C7</f>
        <v>118488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3381936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330699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330699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69403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69403</v>
      </c>
      <c r="C5090" s="2" t="s">
        <v>573</v>
      </c>
      <c r="D5090" s="2" t="str">
        <f t="shared" si="78"/>
        <v>Error?</v>
      </c>
    </row>
    <row r="5091" spans="1:4" x14ac:dyDescent="0.2">
      <c r="A5091" s="5">
        <v>5030</v>
      </c>
      <c r="B5091" s="138">
        <f>'Revenues 9-14'!C70</f>
        <v>10604</v>
      </c>
      <c r="D5091" s="2" t="str">
        <f t="shared" si="78"/>
        <v>Error?</v>
      </c>
    </row>
    <row r="5092" spans="1:4" x14ac:dyDescent="0.2">
      <c r="A5092" s="5">
        <v>5031</v>
      </c>
      <c r="B5092" s="138">
        <f>'Revenues 9-14'!C71</f>
        <v>61040</v>
      </c>
      <c r="D5092" s="2" t="str">
        <f t="shared" si="78"/>
        <v>Error?</v>
      </c>
    </row>
    <row r="5093" spans="1:4" x14ac:dyDescent="0.2">
      <c r="A5093" s="5">
        <v>5032</v>
      </c>
      <c r="B5093" s="138">
        <f>'Revenues 9-14'!C72</f>
        <v>15424</v>
      </c>
      <c r="D5093" s="2" t="str">
        <f t="shared" si="78"/>
        <v>Error?</v>
      </c>
    </row>
    <row r="5094" spans="1:4" x14ac:dyDescent="0.2">
      <c r="A5094" s="5">
        <v>5033</v>
      </c>
      <c r="B5094" s="138">
        <f>'Revenues 9-14'!C73</f>
        <v>5316</v>
      </c>
      <c r="D5094" s="2" t="str">
        <f t="shared" si="78"/>
        <v>Error?</v>
      </c>
    </row>
    <row r="5095" spans="1:4" x14ac:dyDescent="0.2">
      <c r="A5095" s="5">
        <v>5034</v>
      </c>
      <c r="B5095" s="138">
        <f>'Revenues 9-14'!C74</f>
        <v>3341</v>
      </c>
      <c r="D5095" s="2" t="str">
        <f t="shared" si="78"/>
        <v>Error?</v>
      </c>
    </row>
    <row r="5096" spans="1:4" x14ac:dyDescent="0.2">
      <c r="A5096" s="5">
        <v>5035</v>
      </c>
      <c r="B5096" s="138">
        <f>'Revenues 9-14'!C75</f>
        <v>198692</v>
      </c>
      <c r="C5096" s="2" t="s">
        <v>573</v>
      </c>
      <c r="D5096" s="2" t="str">
        <f t="shared" si="78"/>
        <v>Error?</v>
      </c>
    </row>
    <row r="5097" spans="1:4" x14ac:dyDescent="0.2">
      <c r="A5097" s="5">
        <v>5036</v>
      </c>
      <c r="B5097" s="138">
        <f>'Revenues 9-14'!C77</f>
        <v>40880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98157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2379</v>
      </c>
      <c r="D5101" s="2" t="str">
        <f t="shared" si="78"/>
        <v>Error?</v>
      </c>
    </row>
    <row r="5102" spans="1:4" x14ac:dyDescent="0.2">
      <c r="A5102" s="5">
        <v>5041</v>
      </c>
      <c r="B5102" s="138">
        <f>'Revenues 9-14'!C82</f>
        <v>141416</v>
      </c>
      <c r="C5102" s="2" t="s">
        <v>573</v>
      </c>
      <c r="D5102" s="2" t="str">
        <f t="shared" si="78"/>
        <v>Error?</v>
      </c>
    </row>
    <row r="5103" spans="1:4" x14ac:dyDescent="0.2">
      <c r="A5103" s="5">
        <v>5042</v>
      </c>
      <c r="B5103" s="138">
        <f>'Revenues 9-14'!C84</f>
        <v>91779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91779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9485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9747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3482</v>
      </c>
      <c r="D5119" s="2" t="str">
        <f t="shared" ref="D5119:D5182" si="79">IF(ISBLANK(B5119),"OK",IF(A5119-B5119=0,"OK","Error?"))</f>
        <v>Error?</v>
      </c>
    </row>
    <row r="5120" spans="1:4" x14ac:dyDescent="0.2">
      <c r="A5120" s="5">
        <v>5059</v>
      </c>
      <c r="B5120" s="138">
        <f>'Revenues 9-14'!C108</f>
        <v>37010</v>
      </c>
      <c r="C5120" s="2" t="s">
        <v>573</v>
      </c>
      <c r="D5120" s="2" t="str">
        <f t="shared" si="79"/>
        <v>Error?</v>
      </c>
    </row>
    <row r="5121" spans="1:4" x14ac:dyDescent="0.2">
      <c r="A5121" s="5">
        <v>5060</v>
      </c>
      <c r="B5121" s="138">
        <f>'Revenues 9-14'!C109</f>
        <v>4250935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4930863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4930863</v>
      </c>
      <c r="C5132" s="2" t="s">
        <v>573</v>
      </c>
      <c r="D5132" s="2" t="str">
        <f t="shared" si="79"/>
        <v>Error?</v>
      </c>
    </row>
    <row r="5133" spans="1:4" x14ac:dyDescent="0.2">
      <c r="A5133" s="5">
        <v>5072</v>
      </c>
      <c r="B5133" s="138">
        <f>'Revenues 9-14'!C125</f>
        <v>41179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34979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76158</v>
      </c>
      <c r="C5147" s="2" t="s">
        <v>573</v>
      </c>
      <c r="D5147" s="2" t="str">
        <f t="shared" si="79"/>
        <v>Error?</v>
      </c>
    </row>
    <row r="5148" spans="1:4" x14ac:dyDescent="0.2">
      <c r="A5148" s="5">
        <v>5087</v>
      </c>
      <c r="B5148" s="138">
        <f>'Revenues 9-14'!C134</f>
        <v>15289</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20869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5641</v>
      </c>
      <c r="D5167" s="2" t="str">
        <f t="shared" si="79"/>
        <v>Error?</v>
      </c>
    </row>
    <row r="5168" spans="1:4" x14ac:dyDescent="0.2">
      <c r="A5168" s="5">
        <v>5107</v>
      </c>
      <c r="B5168" s="138">
        <f>'Revenues 9-14'!C148</f>
        <v>21388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87835</v>
      </c>
      <c r="D5194" s="2" t="str">
        <f t="shared" si="80"/>
        <v>Error?</v>
      </c>
    </row>
    <row r="5195" spans="1:5" x14ac:dyDescent="0.2">
      <c r="A5195" s="10">
        <v>5134</v>
      </c>
      <c r="D5195" s="2" t="str">
        <f t="shared" si="80"/>
        <v>OK</v>
      </c>
    </row>
    <row r="5196" spans="1:5" x14ac:dyDescent="0.2">
      <c r="A5196" s="5">
        <v>5135</v>
      </c>
      <c r="B5196" s="138">
        <f>'Revenues 9-14'!C159</f>
        <v>230679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446269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5377132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240808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65945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306753</v>
      </c>
      <c r="C5246" s="2" t="s">
        <v>573</v>
      </c>
      <c r="D5246" s="2" t="str">
        <f t="shared" si="80"/>
        <v>Error?</v>
      </c>
    </row>
    <row r="5247" spans="1:4" x14ac:dyDescent="0.2">
      <c r="A5247" s="5">
        <v>5186</v>
      </c>
      <c r="B5247" s="138">
        <f>'Revenues 9-14'!C200</f>
        <v>307763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6364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307763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23657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23657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727360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727360</v>
      </c>
      <c r="C5326" s="2" t="s">
        <v>573</v>
      </c>
      <c r="D5326" s="2" t="str">
        <f t="shared" si="82"/>
        <v>Error?</v>
      </c>
    </row>
    <row r="5327" spans="1:5" x14ac:dyDescent="0.2">
      <c r="A5327" s="5">
        <v>5266</v>
      </c>
      <c r="B5327" s="138">
        <f>'Revenues 9-14'!C268</f>
        <v>10355427</v>
      </c>
      <c r="C5327" s="2" t="s">
        <v>573</v>
      </c>
      <c r="D5327" s="2" t="str">
        <f t="shared" si="82"/>
        <v>Error?</v>
      </c>
    </row>
    <row r="5328" spans="1:5" x14ac:dyDescent="0.2">
      <c r="A5328" s="5">
        <v>5267</v>
      </c>
      <c r="B5328" s="138">
        <f>'Revenues 9-14'!D5</f>
        <v>757588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757588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7855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7855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9700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9700</v>
      </c>
      <c r="C5348" s="2" t="s">
        <v>573</v>
      </c>
      <c r="D5348" s="2" t="str">
        <f t="shared" si="82"/>
        <v>Error?</v>
      </c>
    </row>
    <row r="5349" spans="1:4" x14ac:dyDescent="0.2">
      <c r="A5349" s="5">
        <v>5288</v>
      </c>
      <c r="B5349" s="138">
        <f>'Revenues 9-14'!D95</f>
        <v>25358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2234</v>
      </c>
      <c r="D5354" s="2" t="str">
        <f t="shared" si="82"/>
        <v>Error?</v>
      </c>
    </row>
    <row r="5355" spans="1:4" x14ac:dyDescent="0.2">
      <c r="A5355" s="5">
        <v>5294</v>
      </c>
      <c r="B5355" s="138">
        <f>'Revenues 9-14'!D108</f>
        <v>28290</v>
      </c>
      <c r="C5355" s="2" t="s">
        <v>573</v>
      </c>
      <c r="D5355" s="2" t="str">
        <f t="shared" si="82"/>
        <v>Error?</v>
      </c>
    </row>
    <row r="5356" spans="1:4" x14ac:dyDescent="0.2">
      <c r="A5356" s="5">
        <v>5295</v>
      </c>
      <c r="B5356" s="138">
        <f>'Revenues 9-14'!D109</f>
        <v>803433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1003433</v>
      </c>
      <c r="C5508" s="2" t="s">
        <v>573</v>
      </c>
      <c r="D5508" s="2" t="str">
        <f t="shared" si="85"/>
        <v>Error?</v>
      </c>
    </row>
    <row r="5509" spans="1:4" x14ac:dyDescent="0.2">
      <c r="A5509" s="5">
        <v>5448</v>
      </c>
      <c r="B5509" s="138">
        <f>'Revenues 9-14'!E5</f>
        <v>990933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990933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10000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10000</v>
      </c>
      <c r="C5518" s="2" t="s">
        <v>573</v>
      </c>
      <c r="D5518" s="2" t="str">
        <f t="shared" si="85"/>
        <v>Error?</v>
      </c>
    </row>
    <row r="5519" spans="1:4" x14ac:dyDescent="0.2">
      <c r="A5519" s="5">
        <v>5458</v>
      </c>
      <c r="B5519" s="138">
        <f>'Revenues 9-14'!E65</f>
        <v>3722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3722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1004655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1004655</v>
      </c>
      <c r="C5552" s="2" t="s">
        <v>573</v>
      </c>
      <c r="D5552" s="2" t="str">
        <f t="shared" si="85"/>
        <v>Error?</v>
      </c>
    </row>
    <row r="5553" spans="1:4" x14ac:dyDescent="0.2">
      <c r="A5553" s="5">
        <v>5492</v>
      </c>
      <c r="B5553" s="138">
        <f>'Revenues 9-14'!F5</f>
        <v>317121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317121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2963</v>
      </c>
      <c r="D5565" s="2" t="str">
        <f t="shared" si="85"/>
        <v>Error?</v>
      </c>
    </row>
    <row r="5566" spans="1:4" x14ac:dyDescent="0.2">
      <c r="A5566" s="5">
        <v>5505</v>
      </c>
      <c r="B5566" s="138">
        <f>'Revenues 9-14'!F45</f>
        <v>4132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7095</v>
      </c>
      <c r="C5579" s="2" t="s">
        <v>573</v>
      </c>
      <c r="D5579" s="2" t="str">
        <f t="shared" si="86"/>
        <v>Error?</v>
      </c>
    </row>
    <row r="5580" spans="1:4" x14ac:dyDescent="0.2">
      <c r="A5580" s="5">
        <v>5519</v>
      </c>
      <c r="B5580" s="138">
        <f>'Revenues 9-14'!F65</f>
        <v>5438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5438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2307</v>
      </c>
      <c r="D5586" s="2" t="str">
        <f t="shared" si="86"/>
        <v>Error?</v>
      </c>
    </row>
    <row r="5587" spans="1:4" x14ac:dyDescent="0.2">
      <c r="A5587" s="5">
        <v>5526</v>
      </c>
      <c r="B5587" s="138">
        <f>'Revenues 9-14'!F108</f>
        <v>2307</v>
      </c>
      <c r="C5587" s="2" t="s">
        <v>573</v>
      </c>
      <c r="D5587" s="2" t="str">
        <f t="shared" si="86"/>
        <v>Error?</v>
      </c>
    </row>
    <row r="5588" spans="1:4" x14ac:dyDescent="0.2">
      <c r="A5588" s="5">
        <v>5527</v>
      </c>
      <c r="B5588" s="138">
        <f>'Revenues 9-14'!F109</f>
        <v>331961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244838</v>
      </c>
      <c r="D5615" s="2" t="str">
        <f t="shared" si="86"/>
        <v>Error?</v>
      </c>
    </row>
    <row r="5616" spans="1:4" x14ac:dyDescent="0.2">
      <c r="A5616" s="10">
        <v>5555</v>
      </c>
      <c r="D5616" s="2" t="str">
        <f t="shared" si="86"/>
        <v>OK</v>
      </c>
    </row>
    <row r="5617" spans="1:5" x14ac:dyDescent="0.2">
      <c r="A5617" s="5">
        <v>5556</v>
      </c>
      <c r="B5617" s="138">
        <f>'Revenues 9-14'!F153</f>
        <v>128025</v>
      </c>
      <c r="D5617" s="2" t="str">
        <f t="shared" si="86"/>
        <v>Error?</v>
      </c>
    </row>
    <row r="5618" spans="1:5" x14ac:dyDescent="0.2">
      <c r="A5618" s="5">
        <v>5557</v>
      </c>
      <c r="B5618" s="138">
        <f>'Revenues 9-14'!F155</f>
        <v>372863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372863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372863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704824</v>
      </c>
      <c r="C5720" s="2" t="s">
        <v>573</v>
      </c>
      <c r="D5720" s="2" t="str">
        <f t="shared" si="88"/>
        <v>Error?</v>
      </c>
    </row>
    <row r="5721" spans="1:4" x14ac:dyDescent="0.2">
      <c r="A5721" s="5">
        <v>5660</v>
      </c>
      <c r="B5721" s="138">
        <f>'Revenues 9-14'!G5</f>
        <v>155496</v>
      </c>
      <c r="D5721" s="2" t="str">
        <f t="shared" si="88"/>
        <v>Error?</v>
      </c>
    </row>
    <row r="5722" spans="1:4" x14ac:dyDescent="0.2">
      <c r="A5722" s="5">
        <v>5661</v>
      </c>
      <c r="B5722" s="138">
        <f>'Revenues 9-14'!G7</f>
        <v>0</v>
      </c>
      <c r="D5722" s="2" t="str">
        <f t="shared" si="88"/>
        <v>Error?</v>
      </c>
    </row>
    <row r="5723" spans="1:4" x14ac:dyDescent="0.2">
      <c r="A5723" s="5">
        <v>5662</v>
      </c>
      <c r="B5723" s="138">
        <f>'Revenues 9-14'!G8</f>
        <v>213188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368684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35000</v>
      </c>
      <c r="C5730" s="2" t="s">
        <v>573</v>
      </c>
      <c r="D5730" s="2" t="str">
        <f t="shared" si="88"/>
        <v>Error?</v>
      </c>
    </row>
    <row r="5731" spans="1:4" x14ac:dyDescent="0.2">
      <c r="A5731" s="5">
        <v>5670</v>
      </c>
      <c r="B5731" s="138">
        <f>'Revenues 9-14'!G65</f>
        <v>2940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2940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406624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10218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10218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429831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440049</v>
      </c>
      <c r="C5915" s="2" t="s">
        <v>573</v>
      </c>
      <c r="D5915" s="2" t="str">
        <f t="shared" si="91"/>
        <v>Error?</v>
      </c>
    </row>
    <row r="5916" spans="1:4" x14ac:dyDescent="0.2">
      <c r="A5916" s="5">
        <v>5855</v>
      </c>
      <c r="B5916" s="138">
        <f>'Revenues 9-14'!I5</f>
        <v>5338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5338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47586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47586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52924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48568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48568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3701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3701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52269</v>
      </c>
      <c r="C6023" s="2" t="s">
        <v>573</v>
      </c>
      <c r="D6023" s="2" t="str">
        <f t="shared" si="93"/>
        <v>Error?</v>
      </c>
    </row>
    <row r="6024" spans="1:5" x14ac:dyDescent="0.2">
      <c r="A6024" s="5">
        <v>5963</v>
      </c>
      <c r="B6024" s="138">
        <f>'Revenues 9-14'!G109</f>
        <v>406624</v>
      </c>
      <c r="C6024" s="2" t="s">
        <v>573</v>
      </c>
      <c r="D6024" s="2" t="str">
        <f t="shared" si="93"/>
        <v>Error?</v>
      </c>
    </row>
    <row r="6025" spans="1:5" x14ac:dyDescent="0.2">
      <c r="A6025" s="5">
        <v>5964</v>
      </c>
      <c r="B6025" s="138">
        <f>'Revenues 9-14'!H109</f>
        <v>440049</v>
      </c>
      <c r="C6025" s="2" t="s">
        <v>573</v>
      </c>
      <c r="D6025" s="2" t="str">
        <f t="shared" si="93"/>
        <v>Error?</v>
      </c>
    </row>
    <row r="6026" spans="1:5" x14ac:dyDescent="0.2">
      <c r="A6026" s="5">
        <v>5965</v>
      </c>
      <c r="B6026" s="138">
        <f>'Revenues 9-14'!I109</f>
        <v>52924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52269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102967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41024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1340.01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929172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98</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20364</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929172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929172</v>
      </c>
      <c r="D6216" s="2" t="str">
        <f t="shared" si="96"/>
        <v>Error?</v>
      </c>
      <c r="E6216" s="2" t="s">
        <v>190</v>
      </c>
    </row>
    <row r="6217" spans="1:5" x14ac:dyDescent="0.2">
      <c r="A6217">
        <v>6156</v>
      </c>
      <c r="B6217" s="138">
        <f>'Assets-Liab 5-6'!J4</f>
        <v>67826</v>
      </c>
      <c r="D6217" s="2" t="str">
        <f t="shared" si="96"/>
        <v>Error?</v>
      </c>
      <c r="E6217" s="2" t="s">
        <v>190</v>
      </c>
    </row>
    <row r="6218" spans="1:5" x14ac:dyDescent="0.2">
      <c r="A6218">
        <v>6157</v>
      </c>
      <c r="B6218" s="138">
        <f>'Assets-Liab 5-6'!J5</f>
        <v>861346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60946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60946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60946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235128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235128</v>
      </c>
      <c r="D6229" s="2" t="str">
        <f t="shared" si="96"/>
        <v>Error?</v>
      </c>
      <c r="E6229" s="2" t="s">
        <v>190</v>
      </c>
    </row>
    <row r="6230" spans="1:5" x14ac:dyDescent="0.2">
      <c r="A6230">
        <v>6169</v>
      </c>
      <c r="B6230" s="138">
        <f>'Acct Summary 7-8'!J20</f>
        <v>-174182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-174182</v>
      </c>
      <c r="D6263" s="2" t="str">
        <f t="shared" si="96"/>
        <v>Error?</v>
      </c>
      <c r="E6263" s="2" t="s">
        <v>190</v>
      </c>
    </row>
    <row r="6264" spans="1:5" x14ac:dyDescent="0.2">
      <c r="A6264">
        <v>6203</v>
      </c>
      <c r="B6264" s="138">
        <f>'Acct Summary 7-8'!J79</f>
        <v>1103354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929172</v>
      </c>
      <c r="D6266" s="2" t="str">
        <f t="shared" si="96"/>
        <v>Error?</v>
      </c>
      <c r="E6266" s="2" t="s">
        <v>190</v>
      </c>
    </row>
    <row r="6267" spans="1:5" x14ac:dyDescent="0.2">
      <c r="A6267">
        <v>6206</v>
      </c>
      <c r="B6267" s="138">
        <f>'Acct Summary 7-8'!C82</f>
        <v>415267</v>
      </c>
      <c r="D6267" s="2" t="str">
        <f t="shared" si="96"/>
        <v>Error?</v>
      </c>
      <c r="E6267" s="2" t="s">
        <v>190</v>
      </c>
    </row>
    <row r="6268" spans="1:5" x14ac:dyDescent="0.2">
      <c r="A6268">
        <v>6207</v>
      </c>
      <c r="B6268" s="138">
        <f>'Acct Summary 7-8'!D82</f>
        <v>-53501</v>
      </c>
      <c r="D6268" s="2" t="str">
        <f t="shared" si="96"/>
        <v>Error?</v>
      </c>
      <c r="E6268" s="2" t="s">
        <v>190</v>
      </c>
    </row>
    <row r="6269" spans="1:5" x14ac:dyDescent="0.2">
      <c r="A6269">
        <v>6208</v>
      </c>
      <c r="B6269" s="138">
        <f>'Acct Summary 7-8'!E82</f>
        <v>-2</v>
      </c>
      <c r="D6269" s="2" t="str">
        <f t="shared" si="96"/>
        <v>Error?</v>
      </c>
      <c r="E6269" s="2" t="s">
        <v>190</v>
      </c>
    </row>
    <row r="6270" spans="1:5" x14ac:dyDescent="0.2">
      <c r="A6270">
        <v>6209</v>
      </c>
      <c r="B6270" s="138">
        <f>'Acct Summary 7-8'!F82</f>
        <v>-48908</v>
      </c>
      <c r="D6270" s="2" t="str">
        <f t="shared" si="96"/>
        <v>Error?</v>
      </c>
      <c r="E6270" s="2" t="s">
        <v>190</v>
      </c>
    </row>
    <row r="6271" spans="1:5" x14ac:dyDescent="0.2">
      <c r="A6271">
        <v>6210</v>
      </c>
      <c r="B6271" s="138">
        <f>'Acct Summary 7-8'!G82</f>
        <v>28944</v>
      </c>
      <c r="D6271" s="2" t="str">
        <f t="shared" ref="D6271:D6334" si="97">IF(ISBLANK(B6271),"OK",IF(A6271-B6271=0,"OK","Error?"))</f>
        <v>Error?</v>
      </c>
      <c r="E6271" s="2" t="s">
        <v>190</v>
      </c>
    </row>
    <row r="6272" spans="1:5" x14ac:dyDescent="0.2">
      <c r="A6272">
        <v>6211</v>
      </c>
      <c r="B6272" s="138">
        <f>'Acct Summary 7-8'!H82</f>
        <v>114012</v>
      </c>
      <c r="D6272" s="2" t="str">
        <f t="shared" si="97"/>
        <v>Error?</v>
      </c>
      <c r="E6272" s="2" t="s">
        <v>190</v>
      </c>
    </row>
    <row r="6273" spans="1:5" x14ac:dyDescent="0.2">
      <c r="A6273">
        <v>6212</v>
      </c>
      <c r="B6273" s="138">
        <f>'Acct Summary 7-8'!I82</f>
        <v>52924</v>
      </c>
      <c r="D6273" s="2" t="str">
        <f t="shared" si="97"/>
        <v>Error?</v>
      </c>
      <c r="E6273" s="2" t="s">
        <v>190</v>
      </c>
    </row>
    <row r="6274" spans="1:5" x14ac:dyDescent="0.2">
      <c r="A6274">
        <v>6213</v>
      </c>
      <c r="B6274" s="138">
        <f>'Acct Summary 7-8'!J82</f>
        <v>-174182</v>
      </c>
      <c r="D6274" s="2" t="str">
        <f t="shared" si="97"/>
        <v>Error?</v>
      </c>
      <c r="E6274" s="2" t="s">
        <v>190</v>
      </c>
    </row>
    <row r="6275" spans="1:5" x14ac:dyDescent="0.2">
      <c r="A6275">
        <v>6214</v>
      </c>
      <c r="B6275" s="138">
        <f>'Acct Summary 7-8'!K82</f>
        <v>-33143</v>
      </c>
      <c r="D6275" s="2" t="str">
        <f t="shared" si="97"/>
        <v>Error?</v>
      </c>
      <c r="E6275" s="2" t="s">
        <v>190</v>
      </c>
    </row>
    <row r="6276" spans="1:5" x14ac:dyDescent="0.2">
      <c r="A6276">
        <v>6215</v>
      </c>
      <c r="B6276" s="138">
        <f>'Acct Summary 7-8'!C83</f>
        <v>0.11426918047655107</v>
      </c>
      <c r="D6276" s="2" t="str">
        <f t="shared" si="97"/>
        <v>Error?</v>
      </c>
      <c r="E6276" s="2" t="s">
        <v>190</v>
      </c>
    </row>
    <row r="6277" spans="1:5" x14ac:dyDescent="0.2">
      <c r="A6277">
        <v>6216</v>
      </c>
      <c r="B6277" s="138">
        <f>'Acct Summary 7-8'!D83</f>
        <v>-0.15798456800148827</v>
      </c>
      <c r="D6277" s="2" t="str">
        <f t="shared" si="97"/>
        <v>Error?</v>
      </c>
      <c r="E6277" s="2" t="s">
        <v>190</v>
      </c>
    </row>
    <row r="6278" spans="1:5" x14ac:dyDescent="0.2">
      <c r="A6278">
        <v>6217</v>
      </c>
      <c r="B6278" s="138">
        <f>'Acct Summary 7-8'!E83</f>
        <v>-1.4148574177437269E-5</v>
      </c>
      <c r="D6278" s="2" t="str">
        <f t="shared" si="97"/>
        <v>Error?</v>
      </c>
      <c r="E6278" s="2" t="s">
        <v>190</v>
      </c>
    </row>
    <row r="6279" spans="1:5" x14ac:dyDescent="0.2">
      <c r="A6279">
        <v>6218</v>
      </c>
      <c r="B6279" s="138">
        <f>'Acct Summary 7-8'!F83</f>
        <v>-0.14830897804840329</v>
      </c>
      <c r="D6279" s="2" t="str">
        <f t="shared" si="97"/>
        <v>Error?</v>
      </c>
      <c r="E6279" s="2" t="s">
        <v>190</v>
      </c>
    </row>
    <row r="6280" spans="1:5" x14ac:dyDescent="0.2">
      <c r="A6280">
        <v>6219</v>
      </c>
      <c r="B6280" s="138">
        <f>'Acct Summary 7-8'!G83</f>
        <v>0.21265934388890931</v>
      </c>
      <c r="D6280" s="2" t="str">
        <f t="shared" si="97"/>
        <v>Error?</v>
      </c>
      <c r="E6280" s="2" t="s">
        <v>190</v>
      </c>
    </row>
    <row r="6281" spans="1:5" x14ac:dyDescent="0.2">
      <c r="A6281">
        <v>6220</v>
      </c>
      <c r="B6281" s="138">
        <f>'Acct Summary 7-8'!H83</f>
        <v>0.16793983084052402</v>
      </c>
      <c r="D6281" s="2" t="str">
        <f t="shared" si="97"/>
        <v>Error?</v>
      </c>
      <c r="E6281" s="2" t="s">
        <v>190</v>
      </c>
    </row>
    <row r="6282" spans="1:5" x14ac:dyDescent="0.2">
      <c r="A6282">
        <v>6221</v>
      </c>
      <c r="B6282" s="138">
        <f>'Acct Summary 7-8'!I83</f>
        <v>1.3399430845730836E-2</v>
      </c>
      <c r="D6282" s="2" t="str">
        <f t="shared" si="97"/>
        <v>Error?</v>
      </c>
      <c r="E6282" s="2" t="s">
        <v>190</v>
      </c>
    </row>
    <row r="6283" spans="1:5" x14ac:dyDescent="0.2">
      <c r="A6283">
        <v>6222</v>
      </c>
      <c r="B6283" s="138">
        <f>'Acct Summary 7-8'!J83</f>
        <v>-0.18745937243050803</v>
      </c>
      <c r="D6283" s="2" t="str">
        <f t="shared" si="97"/>
        <v>Error?</v>
      </c>
      <c r="E6283" s="2" t="s">
        <v>190</v>
      </c>
    </row>
    <row r="6284" spans="1:5" x14ac:dyDescent="0.2">
      <c r="A6284">
        <v>6223</v>
      </c>
      <c r="B6284" s="138">
        <f>'Acct Summary 7-8'!K83</f>
        <v>-0.16294493608652902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48568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48568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12378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12378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10950</v>
      </c>
      <c r="D6339" s="2" t="str">
        <f t="shared" si="98"/>
        <v>Error?</v>
      </c>
      <c r="E6339" s="2" t="s">
        <v>190</v>
      </c>
    </row>
    <row r="6340" spans="1:5" x14ac:dyDescent="0.2">
      <c r="A6340">
        <v>6279</v>
      </c>
      <c r="B6340" s="138">
        <f>'Revenues 9-14'!C102</f>
        <v>3346</v>
      </c>
      <c r="D6340" s="2" t="str">
        <f t="shared" si="98"/>
        <v>Error?</v>
      </c>
      <c r="E6340" s="2" t="s">
        <v>190</v>
      </c>
    </row>
    <row r="6341" spans="1:5" x14ac:dyDescent="0.2">
      <c r="A6341">
        <v>6280</v>
      </c>
      <c r="B6341" s="138">
        <f>'Revenues 9-14'!D102</f>
        <v>698</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60946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5580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155219</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92923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124016</v>
      </c>
      <c r="D6880" s="2" t="str">
        <f t="shared" si="106"/>
        <v>Error?</v>
      </c>
    </row>
    <row r="6881" spans="1:4" x14ac:dyDescent="0.2">
      <c r="A6881">
        <v>6820</v>
      </c>
      <c r="B6881" s="138">
        <f>'Expenditures 15-22'!K22</f>
        <v>124016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489</v>
      </c>
      <c r="D6983" s="2" t="str">
        <f t="shared" si="108"/>
        <v>Error?</v>
      </c>
    </row>
    <row r="6984" spans="1:4" x14ac:dyDescent="0.2">
      <c r="A6984">
        <v>6923</v>
      </c>
      <c r="B6984" s="138">
        <f>'Expenditures 15-22'!K86</f>
        <v>489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489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235128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60946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3919</v>
      </c>
      <c r="D7077" s="2" t="str">
        <f t="shared" si="109"/>
        <v>Error?</v>
      </c>
    </row>
    <row r="7078" spans="1:4" x14ac:dyDescent="0.2">
      <c r="A7078">
        <v>7017</v>
      </c>
      <c r="B7078" s="138">
        <f>'Expenditures 15-22'!K220</f>
        <v>3919</v>
      </c>
      <c r="D7078" s="2" t="str">
        <f t="shared" si="109"/>
        <v>Error?</v>
      </c>
    </row>
    <row r="7079" spans="1:4" x14ac:dyDescent="0.2">
      <c r="A7079">
        <v>7018</v>
      </c>
      <c r="B7079" s="138">
        <f>'Expenditures 15-22'!D226</f>
        <v>1128</v>
      </c>
      <c r="D7079" s="2" t="str">
        <f t="shared" si="109"/>
        <v>Error?</v>
      </c>
    </row>
    <row r="7080" spans="1:4" x14ac:dyDescent="0.2">
      <c r="A7080">
        <v>7019</v>
      </c>
      <c r="B7080" s="138">
        <f>'Expenditures 15-22'!K226</f>
        <v>1128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55359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55359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34187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34187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49391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49391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16365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16365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235128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235128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235128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235128</v>
      </c>
      <c r="D7224" s="2" t="str">
        <f t="shared" si="111"/>
        <v>Error?</v>
      </c>
    </row>
    <row r="7225" spans="1:4" x14ac:dyDescent="0.2">
      <c r="A7225">
        <v>7164</v>
      </c>
      <c r="B7225" s="138">
        <f>'Expenditures 15-22'!K343</f>
        <v>-174182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113311</v>
      </c>
      <c r="D7257" s="2" t="str">
        <f t="shared" si="112"/>
        <v>Error?</v>
      </c>
    </row>
    <row r="7258" spans="1:4" x14ac:dyDescent="0.2">
      <c r="A7258">
        <f t="shared" si="113"/>
        <v>7197</v>
      </c>
      <c r="B7258" s="138">
        <f>'Expenditures 15-22'!D11</f>
        <v>23508</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18400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78517</v>
      </c>
      <c r="D7263" s="2" t="str">
        <f t="shared" si="112"/>
        <v>Error?</v>
      </c>
    </row>
    <row r="7264" spans="1:4" x14ac:dyDescent="0.2">
      <c r="A7264">
        <f t="shared" si="113"/>
        <v>7203</v>
      </c>
      <c r="B7264" s="138">
        <f>'Expenditures 15-22'!D17</f>
        <v>10706</v>
      </c>
      <c r="D7264" s="2" t="str">
        <f t="shared" si="112"/>
        <v>Error?</v>
      </c>
    </row>
    <row r="7265" spans="1:5" x14ac:dyDescent="0.2">
      <c r="A7265">
        <f t="shared" si="113"/>
        <v>7204</v>
      </c>
      <c r="B7265" s="138">
        <f>'Expenditures 15-22'!E17</f>
        <v>60</v>
      </c>
      <c r="D7265" s="2" t="str">
        <f t="shared" si="112"/>
        <v>Error?</v>
      </c>
    </row>
    <row r="7266" spans="1:5" x14ac:dyDescent="0.2">
      <c r="A7266">
        <f t="shared" si="113"/>
        <v>7205</v>
      </c>
      <c r="B7266" s="138">
        <f>'Expenditures 15-22'!F17</f>
        <v>3640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503036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79826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79826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564874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10218</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10950</v>
      </c>
      <c r="D7712" s="2" t="str">
        <f t="shared" si="126"/>
        <v>Error?</v>
      </c>
      <c r="E7712" s="2" t="s">
        <v>827</v>
      </c>
    </row>
    <row r="7713" spans="1:6" x14ac:dyDescent="0.2">
      <c r="A7713">
        <v>7652</v>
      </c>
      <c r="B7713" s="138">
        <f>'Rest Tax Levies-Tort Im 25'!J8</f>
        <v>429831</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440049</v>
      </c>
      <c r="D7718" s="2" t="str">
        <f t="shared" si="126"/>
        <v>Error?</v>
      </c>
      <c r="E7718" s="2" t="s">
        <v>827</v>
      </c>
    </row>
    <row r="7719" spans="1:6" x14ac:dyDescent="0.2">
      <c r="A7719">
        <v>7658</v>
      </c>
      <c r="B7719" s="138">
        <f>'Rest Tax Levies-Tort Im 25'!K12</f>
        <v>10950</v>
      </c>
      <c r="D7719" s="2" t="str">
        <f t="shared" si="126"/>
        <v>Error?</v>
      </c>
      <c r="E7719" s="2" t="s">
        <v>827</v>
      </c>
    </row>
    <row r="7720" spans="1:6" x14ac:dyDescent="0.2">
      <c r="A7720">
        <v>7659</v>
      </c>
      <c r="B7720" s="138">
        <f>'Rest Tax Levies-Tort Im 25'!H14</f>
        <v>118488</v>
      </c>
      <c r="D7720" s="2" t="str">
        <f t="shared" si="126"/>
        <v>Error?</v>
      </c>
      <c r="E7720" s="2" t="s">
        <v>827</v>
      </c>
    </row>
    <row r="7721" spans="1:6" x14ac:dyDescent="0.2">
      <c r="A7721">
        <v>7660</v>
      </c>
      <c r="B7721" s="138">
        <f>'Rest Tax Levies-Tort Im 25'!K14</f>
        <v>10950</v>
      </c>
      <c r="D7721" s="2" t="str">
        <f t="shared" si="126"/>
        <v>Error?</v>
      </c>
      <c r="E7721" s="2" t="s">
        <v>827</v>
      </c>
    </row>
    <row r="7722" spans="1:6" x14ac:dyDescent="0.2">
      <c r="A7722">
        <v>7661</v>
      </c>
      <c r="B7722" s="138">
        <f>'Rest Tax Levies-Tort Im 25'!J15</f>
        <v>326037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326037</v>
      </c>
      <c r="D7730" s="2" t="str">
        <f t="shared" si="126"/>
        <v>Error?</v>
      </c>
      <c r="E7730" s="2" t="s">
        <v>827</v>
      </c>
    </row>
    <row r="7731" spans="1:6" x14ac:dyDescent="0.2">
      <c r="A7731">
        <v>7670</v>
      </c>
      <c r="B7731" s="138">
        <f>'Revenues 9-14'!H103</f>
        <v>429831</v>
      </c>
      <c r="D7731" s="2" t="str">
        <f t="shared" si="126"/>
        <v>Error?</v>
      </c>
      <c r="E7731" s="2" t="s">
        <v>827</v>
      </c>
    </row>
    <row r="7732" spans="1:6" x14ac:dyDescent="0.2">
      <c r="A7732">
        <v>7671</v>
      </c>
      <c r="B7732" s="138">
        <f>'Rest Tax Levies-Tort Im 25'!J24</f>
        <v>678886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678886</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0</v>
      </c>
      <c r="D7797" s="2" t="str">
        <f t="shared" si="127"/>
        <v>Error?</v>
      </c>
      <c r="E7797" s="4" t="s">
        <v>1902</v>
      </c>
    </row>
    <row r="7798" spans="1:5" x14ac:dyDescent="0.2">
      <c r="A7798">
        <v>7737</v>
      </c>
      <c r="B7798" s="138">
        <f>'Contracts Paid in CY 29'!F141</f>
        <v>0</v>
      </c>
      <c r="D7798" s="2" t="str">
        <f t="shared" si="127"/>
        <v>Error?</v>
      </c>
      <c r="E7798" s="4" t="s">
        <v>1902</v>
      </c>
    </row>
    <row r="7799" spans="1:5" x14ac:dyDescent="0.2">
      <c r="A7799">
        <v>7738</v>
      </c>
      <c r="B7799" s="138">
        <f>'Contracts Paid in CY 29'!G141</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sqref="A1:XFD104857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1987</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Carlinville CUSD 1</v>
      </c>
      <c r="B7" s="2382"/>
      <c r="C7" s="2382"/>
      <c r="D7" s="2419"/>
      <c r="E7" s="2420">
        <f>COVER!A13</f>
        <v>40056001026</v>
      </c>
      <c r="F7" s="2421"/>
      <c r="G7" s="2388" t="str">
        <f>COVER!T23</f>
        <v>060-003363</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LOY MILLER TALLEY, PC</v>
      </c>
      <c r="H9" s="2395"/>
      <c r="I9" s="2395"/>
      <c r="J9" s="2395"/>
      <c r="K9" s="2395"/>
      <c r="L9" s="2396"/>
    </row>
    <row r="10" spans="1:29" ht="13.5" customHeight="1" x14ac:dyDescent="0.2">
      <c r="A10" s="2378" t="str">
        <f>COVER!A38</f>
        <v>BECKY SCHUCHMAN</v>
      </c>
      <c r="B10" s="2379"/>
      <c r="C10" s="2379"/>
      <c r="D10" s="2379"/>
      <c r="E10" s="2379"/>
      <c r="F10" s="2380"/>
      <c r="G10" s="2394" t="str">
        <f>COVER!T17</f>
        <v>#2 CROSSROADS CT</v>
      </c>
      <c r="H10" s="2407"/>
      <c r="I10" s="2407"/>
      <c r="J10" s="2407"/>
      <c r="K10" s="2407"/>
      <c r="L10" s="2408"/>
    </row>
    <row r="11" spans="1:29" ht="13.5" customHeight="1" x14ac:dyDescent="0.2">
      <c r="A11" s="1184" t="s">
        <v>1519</v>
      </c>
      <c r="B11" s="1185"/>
      <c r="C11" s="1186"/>
      <c r="D11" s="1191"/>
      <c r="E11" s="1186"/>
      <c r="F11" s="1190"/>
      <c r="G11" s="2394" t="str">
        <f>COVER!T19</f>
        <v>ALTON</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KEN@LMTCPAS.COM</v>
      </c>
      <c r="J13" s="2416"/>
      <c r="K13" s="2416"/>
      <c r="L13" s="2417"/>
    </row>
    <row r="14" spans="1:29" ht="13.5" customHeight="1" x14ac:dyDescent="0.2">
      <c r="A14" s="2394" t="str">
        <f>COVER!A19</f>
        <v>829 WEST MAIN STREET</v>
      </c>
      <c r="B14" s="2407"/>
      <c r="C14" s="2407"/>
      <c r="D14" s="2407"/>
      <c r="E14" s="2407"/>
      <c r="F14" s="2408"/>
      <c r="G14" s="1195" t="s">
        <v>1185</v>
      </c>
      <c r="H14" s="1193"/>
      <c r="I14" s="1193"/>
      <c r="J14" s="1193"/>
      <c r="K14" s="1193"/>
      <c r="L14" s="1194"/>
    </row>
    <row r="15" spans="1:29" ht="13.5" customHeight="1" x14ac:dyDescent="0.2">
      <c r="A15" s="2394" t="str">
        <f>COVER!A21</f>
        <v>CARLINVILLE</v>
      </c>
      <c r="B15" s="2407"/>
      <c r="C15" s="2407"/>
      <c r="D15" s="2407"/>
      <c r="E15" s="2407"/>
      <c r="F15" s="2408"/>
      <c r="G15" s="2404" t="str">
        <f>COVER!T15</f>
        <v>KENNETH E. LOY, CPA</v>
      </c>
      <c r="H15" s="2405"/>
      <c r="I15" s="2405"/>
      <c r="J15" s="2405"/>
      <c r="K15" s="2405"/>
      <c r="L15" s="2406"/>
    </row>
    <row r="16" spans="1:29" ht="12.2" customHeight="1" x14ac:dyDescent="0.2">
      <c r="A16" s="2384">
        <f>COVER!A25</f>
        <v>62626</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618-465-1196</v>
      </c>
      <c r="H18" s="2382"/>
      <c r="I18" s="2382"/>
      <c r="J18" s="2382"/>
      <c r="K18" s="2381" t="str">
        <f>COVER!X21</f>
        <v>618-465-2900</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2062</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2062</v>
      </c>
      <c r="C26" s="1202" t="s">
        <v>1699</v>
      </c>
    </row>
    <row r="27" spans="1:13" s="1198" customFormat="1" ht="9" customHeight="1" x14ac:dyDescent="0.2">
      <c r="B27" s="1203"/>
      <c r="C27" s="1202"/>
    </row>
    <row r="28" spans="1:13" s="1198" customFormat="1" ht="12.2" customHeight="1" x14ac:dyDescent="0.2">
      <c r="A28" s="1205"/>
      <c r="B28" s="1201" t="s">
        <v>2062</v>
      </c>
      <c r="C28" s="1202" t="s">
        <v>1700</v>
      </c>
    </row>
    <row r="29" spans="1:13" s="1198" customFormat="1" ht="9" customHeight="1" x14ac:dyDescent="0.2">
      <c r="A29" s="1205"/>
      <c r="B29" s="1203"/>
      <c r="C29" s="1202"/>
    </row>
    <row r="30" spans="1:13" s="1198" customFormat="1" ht="12.2" customHeight="1" x14ac:dyDescent="0.2">
      <c r="B30" s="1201" t="s">
        <v>2062</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2062</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2062</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2062</v>
      </c>
      <c r="C38" s="1202" t="s">
        <v>1566</v>
      </c>
    </row>
    <row r="39" spans="1:8" ht="9" customHeight="1" x14ac:dyDescent="0.2">
      <c r="B39" s="1203"/>
      <c r="C39" s="1206"/>
    </row>
    <row r="40" spans="1:8" s="1198" customFormat="1" ht="13.5" customHeight="1" x14ac:dyDescent="0.2">
      <c r="B40" s="1201" t="s">
        <v>2062</v>
      </c>
      <c r="C40" s="1202" t="s">
        <v>1567</v>
      </c>
    </row>
    <row r="41" spans="1:8" ht="9" customHeight="1" x14ac:dyDescent="0.2">
      <c r="A41" s="1207"/>
      <c r="B41" s="1203"/>
      <c r="C41" s="1206"/>
    </row>
    <row r="42" spans="1:8" s="1198" customFormat="1" ht="13.5" customHeight="1" x14ac:dyDescent="0.2">
      <c r="B42" s="1201" t="s">
        <v>2062</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2062</v>
      </c>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3" zoomScale="125" zoomScaleNormal="125" workbookViewId="0">
      <selection activeCell="A4" sqref="A4:F4"/>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Carlinville CUSD 1</v>
      </c>
      <c r="B1" s="2418"/>
      <c r="C1" s="2418"/>
      <c r="D1" s="2418"/>
    </row>
    <row r="2" spans="1:11" s="1212" customFormat="1" ht="12.75" x14ac:dyDescent="0.2">
      <c r="A2" s="2423">
        <f>'Single Audit Cover'!E7</f>
        <v>40056001026</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XFD104857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Carlinville CUSD 1</v>
      </c>
      <c r="B1" s="2426"/>
      <c r="C1" s="2426"/>
      <c r="D1" s="2426"/>
      <c r="E1" s="2426"/>
    </row>
    <row r="2" spans="1:5" x14ac:dyDescent="0.2">
      <c r="A2" s="2427">
        <f>'Single Audit Cover'!E7</f>
        <v>40056001026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727360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41024</v>
      </c>
    </row>
    <row r="15" spans="1:5" x14ac:dyDescent="0.2">
      <c r="A15" s="1258"/>
      <c r="B15" s="1259"/>
      <c r="C15" s="1259"/>
    </row>
    <row r="16" spans="1:5" x14ac:dyDescent="0.2">
      <c r="A16" s="1258" t="s">
        <v>1842</v>
      </c>
      <c r="B16" s="1259"/>
      <c r="C16" s="1259"/>
    </row>
    <row r="17" spans="1:4" x14ac:dyDescent="0.2">
      <c r="A17" s="1258" t="s">
        <v>2059</v>
      </c>
      <c r="B17" s="1259" t="s">
        <v>1236</v>
      </c>
      <c r="C17" s="1259"/>
      <c r="D17" s="1261">
        <f>-SUM('Revenues 9-14'!C264:D264,'Revenues 9-14'!F264:G264)</f>
        <v>-23682</v>
      </c>
    </row>
    <row r="19" spans="1:4" ht="13.5" thickBot="1" x14ac:dyDescent="0.25">
      <c r="A19" s="1262" t="s">
        <v>1235</v>
      </c>
      <c r="D19" s="1263">
        <f>SUM(D10:D17)</f>
        <v>744702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744702</v>
      </c>
    </row>
    <row r="33" spans="1:4" x14ac:dyDescent="0.2">
      <c r="D33" s="1266"/>
    </row>
    <row r="34" spans="1:4" x14ac:dyDescent="0.2">
      <c r="A34" s="317" t="s">
        <v>1232</v>
      </c>
    </row>
    <row r="35" spans="1:4" x14ac:dyDescent="0.2">
      <c r="A35" s="317" t="s">
        <v>1231</v>
      </c>
      <c r="B35" s="1255" t="s">
        <v>1230</v>
      </c>
      <c r="D35" s="1267">
        <f>+' SEFA (5)'!F27</f>
        <v>744702</v>
      </c>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744702</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7" zoomScaleNormal="100" workbookViewId="0">
      <selection activeCell="B46" sqref="B1:M4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2101</v>
      </c>
      <c r="C11" s="1335"/>
      <c r="D11" s="1336"/>
      <c r="E11" s="1337"/>
      <c r="F11" s="1337"/>
      <c r="G11" s="1337"/>
      <c r="H11" s="1337"/>
      <c r="I11" s="1337"/>
      <c r="J11" s="1337"/>
      <c r="K11" s="1337"/>
      <c r="L11" s="1337">
        <f>+G11+I11+K11</f>
        <v>0</v>
      </c>
      <c r="M11" s="1337"/>
    </row>
    <row r="12" spans="2:14" ht="20.100000000000001" customHeight="1" x14ac:dyDescent="0.2">
      <c r="B12" s="1334" t="s">
        <v>2102</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2103</v>
      </c>
      <c r="C14" s="1338"/>
      <c r="D14" s="1339"/>
      <c r="E14" s="1340"/>
      <c r="F14" s="1340"/>
      <c r="G14" s="1340"/>
      <c r="H14" s="1340"/>
      <c r="I14" s="1340"/>
      <c r="J14" s="1340"/>
      <c r="K14" s="1340"/>
      <c r="L14" s="1337">
        <f t="shared" si="0"/>
        <v>0</v>
      </c>
      <c r="M14" s="1340"/>
    </row>
    <row r="15" spans="2:14" ht="20.100000000000001" customHeight="1" x14ac:dyDescent="0.2">
      <c r="B15" s="1334" t="s">
        <v>2126</v>
      </c>
      <c r="C15" s="1338">
        <v>10.555</v>
      </c>
      <c r="D15" s="1339" t="s">
        <v>2104</v>
      </c>
      <c r="E15" s="1340"/>
      <c r="F15" s="1340">
        <v>198112</v>
      </c>
      <c r="G15" s="1340"/>
      <c r="H15" s="1340"/>
      <c r="I15" s="1340">
        <v>198112</v>
      </c>
      <c r="J15" s="1340"/>
      <c r="K15" s="1340"/>
      <c r="L15" s="1337">
        <f t="shared" si="0"/>
        <v>198112</v>
      </c>
      <c r="M15" s="1340" t="s">
        <v>2125</v>
      </c>
    </row>
    <row r="16" spans="2:14" ht="20.100000000000001" customHeight="1" x14ac:dyDescent="0.2">
      <c r="B16" s="1334" t="s">
        <v>2126</v>
      </c>
      <c r="C16" s="1338">
        <v>10.555</v>
      </c>
      <c r="D16" s="1339" t="s">
        <v>2105</v>
      </c>
      <c r="E16" s="1340">
        <v>200660</v>
      </c>
      <c r="F16" s="1340">
        <v>42696</v>
      </c>
      <c r="G16" s="1340">
        <v>200660</v>
      </c>
      <c r="H16" s="1340"/>
      <c r="I16" s="1340">
        <v>42696</v>
      </c>
      <c r="J16" s="1340"/>
      <c r="K16" s="1340"/>
      <c r="L16" s="1337">
        <f t="shared" si="0"/>
        <v>243356</v>
      </c>
      <c r="M16" s="1340" t="s">
        <v>2125</v>
      </c>
    </row>
    <row r="17" spans="2:14" ht="20.100000000000001" customHeight="1" x14ac:dyDescent="0.2">
      <c r="B17" s="1334" t="s">
        <v>2107</v>
      </c>
      <c r="C17" s="1338">
        <v>10.553000000000001</v>
      </c>
      <c r="D17" s="1339" t="s">
        <v>2106</v>
      </c>
      <c r="E17" s="1340"/>
      <c r="F17" s="1340">
        <v>53844</v>
      </c>
      <c r="G17" s="1340"/>
      <c r="H17" s="1340"/>
      <c r="I17" s="1340">
        <v>53844</v>
      </c>
      <c r="J17" s="1340"/>
      <c r="K17" s="1340"/>
      <c r="L17" s="1337">
        <f t="shared" si="0"/>
        <v>53844</v>
      </c>
      <c r="M17" s="1340" t="s">
        <v>2125</v>
      </c>
    </row>
    <row r="18" spans="2:14" ht="20.100000000000001" customHeight="1" x14ac:dyDescent="0.2">
      <c r="B18" s="1334" t="s">
        <v>2107</v>
      </c>
      <c r="C18" s="1338">
        <v>10.553000000000001</v>
      </c>
      <c r="D18" s="1339" t="s">
        <v>2108</v>
      </c>
      <c r="E18" s="1340">
        <v>50460</v>
      </c>
      <c r="F18" s="1340">
        <v>12101</v>
      </c>
      <c r="G18" s="1340">
        <v>50460</v>
      </c>
      <c r="H18" s="1340"/>
      <c r="I18" s="1340">
        <v>12101</v>
      </c>
      <c r="J18" s="1340"/>
      <c r="K18" s="1340"/>
      <c r="L18" s="1337">
        <f t="shared" si="0"/>
        <v>62561</v>
      </c>
      <c r="M18" s="1340" t="s">
        <v>2125</v>
      </c>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2109</v>
      </c>
      <c r="C20" s="1338"/>
      <c r="D20" s="1339"/>
      <c r="E20" s="1340">
        <f>SUM(E13:E19)</f>
        <v>251120</v>
      </c>
      <c r="F20" s="1340">
        <f t="shared" ref="F20:M20" si="1">SUM(F13:F19)</f>
        <v>306753</v>
      </c>
      <c r="G20" s="1340">
        <f t="shared" si="1"/>
        <v>251120</v>
      </c>
      <c r="H20" s="1340">
        <f t="shared" si="1"/>
        <v>0</v>
      </c>
      <c r="I20" s="1340">
        <f t="shared" si="1"/>
        <v>306753</v>
      </c>
      <c r="J20" s="1340">
        <f t="shared" si="1"/>
        <v>0</v>
      </c>
      <c r="K20" s="1340">
        <f t="shared" si="1"/>
        <v>0</v>
      </c>
      <c r="L20" s="1337">
        <f t="shared" si="0"/>
        <v>557873</v>
      </c>
      <c r="M20" s="1340">
        <f t="shared" si="1"/>
        <v>0</v>
      </c>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2110</v>
      </c>
      <c r="C22" s="1338">
        <v>10.565</v>
      </c>
      <c r="D22" s="1339" t="s">
        <v>2111</v>
      </c>
      <c r="E22" s="1340"/>
      <c r="F22" s="1340">
        <v>21042</v>
      </c>
      <c r="G22" s="1340"/>
      <c r="H22" s="1340"/>
      <c r="I22" s="1340">
        <v>21042</v>
      </c>
      <c r="J22" s="1340"/>
      <c r="K22" s="1340"/>
      <c r="L22" s="1337">
        <f t="shared" si="0"/>
        <v>21042</v>
      </c>
      <c r="M22" s="1340" t="s">
        <v>2125</v>
      </c>
    </row>
    <row r="23" spans="2:14" ht="20.100000000000001" customHeight="1" x14ac:dyDescent="0.2">
      <c r="B23" s="1334" t="s">
        <v>2112</v>
      </c>
      <c r="C23" s="1338">
        <v>10.582000000000001</v>
      </c>
      <c r="D23" s="1339" t="s">
        <v>2111</v>
      </c>
      <c r="E23" s="1340"/>
      <c r="F23" s="1340">
        <v>19982</v>
      </c>
      <c r="G23" s="1340"/>
      <c r="H23" s="1340"/>
      <c r="I23" s="1340">
        <v>19982</v>
      </c>
      <c r="J23" s="1340"/>
      <c r="K23" s="1340"/>
      <c r="L23" s="1337">
        <f t="shared" si="0"/>
        <v>19982</v>
      </c>
      <c r="M23" s="1340" t="s">
        <v>2125</v>
      </c>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2113</v>
      </c>
      <c r="C27" s="1338"/>
      <c r="D27" s="1339"/>
      <c r="E27" s="1340">
        <f>SUM(E20:E26)</f>
        <v>251120</v>
      </c>
      <c r="F27" s="1340">
        <f t="shared" ref="F27:K27" si="2">SUM(F20:F26)</f>
        <v>347777</v>
      </c>
      <c r="G27" s="1340">
        <f t="shared" si="2"/>
        <v>251120</v>
      </c>
      <c r="H27" s="1340">
        <f t="shared" si="2"/>
        <v>0</v>
      </c>
      <c r="I27" s="1340">
        <f t="shared" si="2"/>
        <v>347777</v>
      </c>
      <c r="J27" s="1340">
        <f t="shared" si="2"/>
        <v>0</v>
      </c>
      <c r="K27" s="1340">
        <f t="shared" si="2"/>
        <v>0</v>
      </c>
      <c r="L27" s="1337">
        <f t="shared" si="0"/>
        <v>598897</v>
      </c>
      <c r="M27" s="1340">
        <f>SUM(M20:M26)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9FD68-BF2A-42DC-9895-3EFBC7B52685}">
  <dimension ref="B1:N152"/>
  <sheetViews>
    <sheetView showGridLines="0" topLeftCell="A4" zoomScaleNormal="100" workbookViewId="0">
      <selection activeCell="H11" sqref="H1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2114</v>
      </c>
      <c r="C11" s="1335"/>
      <c r="D11" s="1336"/>
      <c r="E11" s="1337"/>
      <c r="F11" s="1337"/>
      <c r="G11" s="1337"/>
      <c r="H11" s="1337"/>
      <c r="I11" s="1337"/>
      <c r="J11" s="1337"/>
      <c r="K11" s="1337"/>
      <c r="L11" s="1337">
        <f>+G11+I11+K11</f>
        <v>0</v>
      </c>
      <c r="M11" s="1337"/>
    </row>
    <row r="12" spans="2:14" ht="20.100000000000001" customHeight="1" x14ac:dyDescent="0.2">
      <c r="B12" s="1334" t="s">
        <v>2115</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2116</v>
      </c>
      <c r="C14" s="1338">
        <v>84.01</v>
      </c>
      <c r="D14" s="1339" t="s">
        <v>2120</v>
      </c>
      <c r="E14" s="1340"/>
      <c r="F14" s="1340">
        <v>177243</v>
      </c>
      <c r="G14" s="1340"/>
      <c r="H14" s="1340"/>
      <c r="I14" s="1340">
        <v>302864</v>
      </c>
      <c r="J14" s="1340"/>
      <c r="K14" s="1340">
        <v>27238</v>
      </c>
      <c r="L14" s="1337">
        <f t="shared" si="0"/>
        <v>330102</v>
      </c>
      <c r="M14" s="1340">
        <v>377241</v>
      </c>
    </row>
    <row r="15" spans="2:14" ht="20.100000000000001" customHeight="1" x14ac:dyDescent="0.2">
      <c r="B15" s="1334" t="s">
        <v>2117</v>
      </c>
      <c r="C15" s="1338">
        <v>84.01</v>
      </c>
      <c r="D15" s="1339" t="s">
        <v>2121</v>
      </c>
      <c r="E15" s="1340">
        <v>176750</v>
      </c>
      <c r="F15" s="1340">
        <v>130520</v>
      </c>
      <c r="G15" s="1340"/>
      <c r="H15" s="1340">
        <v>287579</v>
      </c>
      <c r="I15" s="1340">
        <v>19691</v>
      </c>
      <c r="J15" s="1340"/>
      <c r="K15" s="1340"/>
      <c r="L15" s="1337">
        <f t="shared" si="0"/>
        <v>19691</v>
      </c>
      <c r="M15" s="1340">
        <v>309828</v>
      </c>
    </row>
    <row r="16" spans="2:14" ht="20.100000000000001" customHeight="1" x14ac:dyDescent="0.2">
      <c r="B16" s="1334" t="s">
        <v>2118</v>
      </c>
      <c r="C16" s="1338">
        <v>84.367000000000004</v>
      </c>
      <c r="D16" s="1339" t="s">
        <v>2122</v>
      </c>
      <c r="E16" s="1340"/>
      <c r="F16" s="1340">
        <v>29429</v>
      </c>
      <c r="G16" s="1340"/>
      <c r="H16" s="1340"/>
      <c r="I16" s="1340">
        <v>47274</v>
      </c>
      <c r="J16" s="1340"/>
      <c r="K16" s="1340">
        <v>2518</v>
      </c>
      <c r="L16" s="1337">
        <f t="shared" si="0"/>
        <v>49792</v>
      </c>
      <c r="M16" s="1340">
        <v>49792</v>
      </c>
    </row>
    <row r="17" spans="2:14" ht="20.100000000000001" customHeight="1" x14ac:dyDescent="0.2">
      <c r="B17" s="1334" t="s">
        <v>2118</v>
      </c>
      <c r="C17" s="1338">
        <v>84.367000000000004</v>
      </c>
      <c r="D17" s="1339" t="s">
        <v>2123</v>
      </c>
      <c r="E17" s="1340">
        <v>33081</v>
      </c>
      <c r="F17" s="1340">
        <v>20206</v>
      </c>
      <c r="G17" s="1340"/>
      <c r="H17" s="1340">
        <v>47456</v>
      </c>
      <c r="I17" s="1340">
        <v>5831</v>
      </c>
      <c r="J17" s="1340"/>
      <c r="K17" s="1340"/>
      <c r="L17" s="1337">
        <f t="shared" si="0"/>
        <v>5831</v>
      </c>
      <c r="M17" s="1340">
        <v>53287</v>
      </c>
    </row>
    <row r="18" spans="2:14" ht="20.100000000000001" customHeight="1" x14ac:dyDescent="0.2">
      <c r="B18" s="1334" t="s">
        <v>2161</v>
      </c>
      <c r="C18" s="1338">
        <v>84.424000000000007</v>
      </c>
      <c r="D18" s="1339" t="s">
        <v>2124</v>
      </c>
      <c r="E18" s="1340"/>
      <c r="F18" s="1340">
        <v>1225</v>
      </c>
      <c r="G18" s="1340"/>
      <c r="H18" s="1340"/>
      <c r="I18" s="1340">
        <v>5470</v>
      </c>
      <c r="J18" s="1340"/>
      <c r="K18" s="1340">
        <v>1230</v>
      </c>
      <c r="L18" s="1337">
        <f t="shared" si="0"/>
        <v>6700</v>
      </c>
      <c r="M18" s="1340">
        <v>8660</v>
      </c>
    </row>
    <row r="19" spans="2:14" ht="20.100000000000001" customHeight="1" x14ac:dyDescent="0.2">
      <c r="B19" s="1334" t="s">
        <v>2161</v>
      </c>
      <c r="C19" s="1338">
        <v>84.424000000000007</v>
      </c>
      <c r="D19" s="1339" t="s">
        <v>2127</v>
      </c>
      <c r="E19" s="1340">
        <v>2082</v>
      </c>
      <c r="F19" s="1340">
        <v>5139</v>
      </c>
      <c r="G19" s="1340"/>
      <c r="H19" s="1340">
        <v>7221</v>
      </c>
      <c r="I19" s="1340"/>
      <c r="J19" s="1340"/>
      <c r="K19" s="1340"/>
      <c r="L19" s="1337">
        <f t="shared" si="0"/>
        <v>0</v>
      </c>
      <c r="M19" s="1340">
        <v>7221</v>
      </c>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2119</v>
      </c>
      <c r="C27" s="1338"/>
      <c r="D27" s="1339"/>
      <c r="E27" s="1340">
        <f>SUM(E13:E26)</f>
        <v>211913</v>
      </c>
      <c r="F27" s="1340">
        <f t="shared" ref="F27:K27" si="1">SUM(F13:F26)</f>
        <v>363762</v>
      </c>
      <c r="G27" s="1340">
        <f t="shared" si="1"/>
        <v>0</v>
      </c>
      <c r="H27" s="1340">
        <f t="shared" si="1"/>
        <v>342256</v>
      </c>
      <c r="I27" s="1340">
        <f t="shared" si="1"/>
        <v>381130</v>
      </c>
      <c r="J27" s="1340">
        <f t="shared" si="1"/>
        <v>0</v>
      </c>
      <c r="K27" s="1340">
        <f t="shared" si="1"/>
        <v>30986</v>
      </c>
      <c r="L27" s="1337">
        <f t="shared" si="0"/>
        <v>412116</v>
      </c>
      <c r="M27" s="1340">
        <f>SUM(M13:M26)</f>
        <v>806029</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sheetPr>
  <dimension ref="A1:K143"/>
  <sheetViews>
    <sheetView showGridLines="0" defaultGridColor="0" topLeftCell="A92" colorId="8" zoomScale="110" zoomScaleNormal="110" workbookViewId="0">
      <selection activeCell="D122" sqref="D12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t="s">
        <v>2083</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2067</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94F1C-4B05-403D-BBC1-9285D7C73F50}">
  <dimension ref="B1:N152"/>
  <sheetViews>
    <sheetView showGridLines="0" topLeftCell="A13" zoomScaleNormal="100" workbookViewId="0">
      <selection activeCell="B1" sqref="B1:M4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2128</v>
      </c>
      <c r="C11" s="1335"/>
      <c r="D11" s="1336"/>
      <c r="E11" s="1337"/>
      <c r="F11" s="1337"/>
      <c r="G11" s="1337"/>
      <c r="H11" s="1337"/>
      <c r="I11" s="1337"/>
      <c r="J11" s="1337"/>
      <c r="K11" s="1337"/>
      <c r="L11" s="1337">
        <f>+G11+I11+K11</f>
        <v>0</v>
      </c>
      <c r="M11" s="1337"/>
    </row>
    <row r="12" spans="2:14" ht="20.100000000000001" customHeight="1" x14ac:dyDescent="0.2">
      <c r="B12" s="1334" t="s">
        <v>2129</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t="s">
        <v>2130</v>
      </c>
      <c r="C14" s="1338">
        <v>93.778000000000006</v>
      </c>
      <c r="D14" s="1339" t="s">
        <v>2131</v>
      </c>
      <c r="E14" s="1340"/>
      <c r="F14" s="1340">
        <v>9506</v>
      </c>
      <c r="G14" s="1340"/>
      <c r="H14" s="1340"/>
      <c r="I14" s="1340">
        <v>9506</v>
      </c>
      <c r="J14" s="1340"/>
      <c r="K14" s="1340"/>
      <c r="L14" s="1337">
        <f t="shared" si="0"/>
        <v>9506</v>
      </c>
      <c r="M14" s="1340" t="s">
        <v>2125</v>
      </c>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2132</v>
      </c>
      <c r="C27" s="1338"/>
      <c r="D27" s="1339"/>
      <c r="E27" s="1340">
        <f>SUM(E13:E26)</f>
        <v>0</v>
      </c>
      <c r="F27" s="1340">
        <f t="shared" ref="F27:K27" si="1">SUM(F13:F26)</f>
        <v>9506</v>
      </c>
      <c r="G27" s="1340">
        <f t="shared" si="1"/>
        <v>0</v>
      </c>
      <c r="H27" s="1340">
        <f t="shared" si="1"/>
        <v>0</v>
      </c>
      <c r="I27" s="1340">
        <f t="shared" si="1"/>
        <v>9506</v>
      </c>
      <c r="J27" s="1340">
        <f t="shared" si="1"/>
        <v>0</v>
      </c>
      <c r="K27" s="1340">
        <f t="shared" si="1"/>
        <v>0</v>
      </c>
      <c r="L27" s="1337">
        <f t="shared" si="0"/>
        <v>9506</v>
      </c>
      <c r="M27" s="1340">
        <f>SUM(M13:M26)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389C-5C8B-43BA-858F-D9264A00E7CC}">
  <dimension ref="B1:N152"/>
  <sheetViews>
    <sheetView showGridLines="0" zoomScaleNormal="100" workbookViewId="0">
      <selection activeCell="B1" sqref="B1:M4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2138</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2139</v>
      </c>
      <c r="C13" s="1338">
        <v>84.048000000000002</v>
      </c>
      <c r="D13" s="1339" t="s">
        <v>2142</v>
      </c>
      <c r="E13" s="1340"/>
      <c r="F13" s="1340">
        <v>23657</v>
      </c>
      <c r="G13" s="1340"/>
      <c r="H13" s="1340"/>
      <c r="I13" s="1340">
        <v>23657</v>
      </c>
      <c r="J13" s="1340"/>
      <c r="K13" s="1340"/>
      <c r="L13" s="1337">
        <f t="shared" si="0"/>
        <v>23657</v>
      </c>
      <c r="M13" s="1340" t="s">
        <v>2125</v>
      </c>
    </row>
    <row r="14" spans="2:14" ht="20.100000000000001" customHeight="1" x14ac:dyDescent="0.2">
      <c r="B14" s="1334" t="s">
        <v>2140</v>
      </c>
      <c r="C14" s="1338"/>
      <c r="D14" s="1339"/>
      <c r="E14" s="1340"/>
      <c r="F14" s="1340"/>
      <c r="G14" s="1340"/>
      <c r="H14" s="1340"/>
      <c r="I14" s="1340"/>
      <c r="J14" s="1340"/>
      <c r="K14" s="1340"/>
      <c r="L14" s="1337">
        <f t="shared" si="0"/>
        <v>0</v>
      </c>
      <c r="M14" s="1340"/>
    </row>
    <row r="15" spans="2:14" ht="20.100000000000001" customHeight="1" x14ac:dyDescent="0.2">
      <c r="B15" s="1334"/>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2141</v>
      </c>
      <c r="C27" s="1338"/>
      <c r="D27" s="1339"/>
      <c r="E27" s="1340">
        <f>SUM(E13:E26)</f>
        <v>0</v>
      </c>
      <c r="F27" s="1340">
        <f t="shared" ref="F27:K27" si="1">SUM(F13:F26)</f>
        <v>23657</v>
      </c>
      <c r="G27" s="1340">
        <f t="shared" si="1"/>
        <v>0</v>
      </c>
      <c r="H27" s="1340">
        <f t="shared" si="1"/>
        <v>0</v>
      </c>
      <c r="I27" s="1340">
        <f t="shared" si="1"/>
        <v>23657</v>
      </c>
      <c r="J27" s="1340">
        <f t="shared" si="1"/>
        <v>0</v>
      </c>
      <c r="K27" s="1340">
        <f t="shared" si="1"/>
        <v>0</v>
      </c>
      <c r="L27" s="1337">
        <f t="shared" si="0"/>
        <v>23657</v>
      </c>
      <c r="M27" s="1340">
        <f>SUM(M13:M26)</f>
        <v>0</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B2B2-5148-4467-97BF-50CF758DDCC0}">
  <dimension ref="B1:N152"/>
  <sheetViews>
    <sheetView showGridLines="0" topLeftCell="A16" zoomScaleNormal="100" workbookViewId="0">
      <selection activeCell="M48" sqref="B1:M4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Carlinville CUSD 1</v>
      </c>
      <c r="C1" s="2430"/>
      <c r="D1" s="2430"/>
      <c r="E1" s="2430"/>
      <c r="F1" s="2430"/>
      <c r="G1" s="2430"/>
      <c r="H1" s="2430"/>
      <c r="I1" s="2430"/>
      <c r="J1" s="2430"/>
      <c r="K1" s="2430"/>
      <c r="L1" s="2430"/>
      <c r="M1" s="2430"/>
    </row>
    <row r="2" spans="2:14" ht="15" x14ac:dyDescent="0.2">
      <c r="B2" s="2431">
        <f>'Single Audit Cover'!E7</f>
        <v>40056001026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2133</v>
      </c>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2134</v>
      </c>
      <c r="C13" s="1338"/>
      <c r="D13" s="1339"/>
      <c r="E13" s="1340">
        <f>' SEFA'!E27+' SEFA (2)'!E27</f>
        <v>463033</v>
      </c>
      <c r="F13" s="1340">
        <f>' SEFA'!F27+' SEFA (2)'!F27</f>
        <v>711539</v>
      </c>
      <c r="G13" s="1340">
        <f>' SEFA'!G27+' SEFA (2)'!G27</f>
        <v>251120</v>
      </c>
      <c r="H13" s="1340">
        <f>' SEFA'!H27+' SEFA (2)'!H27</f>
        <v>342256</v>
      </c>
      <c r="I13" s="1340">
        <f>' SEFA'!I27+' SEFA (2)'!I27</f>
        <v>728907</v>
      </c>
      <c r="J13" s="1340">
        <f>' SEFA'!J27+' SEFA (2)'!J27</f>
        <v>0</v>
      </c>
      <c r="K13" s="1340">
        <f>' SEFA'!K27+' SEFA (2)'!K27</f>
        <v>30986</v>
      </c>
      <c r="L13" s="1337">
        <f t="shared" si="0"/>
        <v>1011013</v>
      </c>
      <c r="M13" s="1340">
        <f>' SEFA'!M27+' SEFA (2)'!M27</f>
        <v>806029</v>
      </c>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2135</v>
      </c>
      <c r="C15" s="1338"/>
      <c r="D15" s="1339"/>
      <c r="E15" s="1340">
        <f>+' SEFA (3)'!E27</f>
        <v>0</v>
      </c>
      <c r="F15" s="1340">
        <f>+' SEFA (3)'!F27</f>
        <v>9506</v>
      </c>
      <c r="G15" s="1340">
        <f>+' SEFA (3)'!G27</f>
        <v>0</v>
      </c>
      <c r="H15" s="1340">
        <f>+' SEFA (3)'!H27</f>
        <v>0</v>
      </c>
      <c r="I15" s="1340">
        <f>+' SEFA (3)'!I27</f>
        <v>9506</v>
      </c>
      <c r="J15" s="1340">
        <f>+' SEFA (3)'!J27</f>
        <v>0</v>
      </c>
      <c r="K15" s="1340">
        <f>+' SEFA (3)'!K27</f>
        <v>0</v>
      </c>
      <c r="L15" s="1337">
        <f t="shared" si="0"/>
        <v>9506</v>
      </c>
      <c r="M15" s="1340">
        <f>+' SEFA (3)'!M27</f>
        <v>0</v>
      </c>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2136</v>
      </c>
      <c r="C17" s="1338"/>
      <c r="D17" s="1339"/>
      <c r="E17" s="1340">
        <f>+' SEFA (4)'!E27</f>
        <v>0</v>
      </c>
      <c r="F17" s="1340">
        <f>+' SEFA (4)'!F27</f>
        <v>23657</v>
      </c>
      <c r="G17" s="1340">
        <f>+' SEFA (4)'!G27</f>
        <v>0</v>
      </c>
      <c r="H17" s="1340">
        <f>+' SEFA (4)'!H27</f>
        <v>0</v>
      </c>
      <c r="I17" s="1340">
        <f>+' SEFA (4)'!I27</f>
        <v>23657</v>
      </c>
      <c r="J17" s="1340">
        <f>+' SEFA (4)'!J27</f>
        <v>0</v>
      </c>
      <c r="K17" s="1340">
        <f>+' SEFA (4)'!K27</f>
        <v>0</v>
      </c>
      <c r="L17" s="1337">
        <f t="shared" si="0"/>
        <v>23657</v>
      </c>
      <c r="M17" s="1340">
        <f>+' SEFA (4)'!M27</f>
        <v>0</v>
      </c>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2137</v>
      </c>
      <c r="C27" s="1338"/>
      <c r="D27" s="1339"/>
      <c r="E27" s="1340">
        <f>SUM(E12:E26)</f>
        <v>463033</v>
      </c>
      <c r="F27" s="1340">
        <f t="shared" ref="F27:K27" si="1">SUM(F12:F26)</f>
        <v>744702</v>
      </c>
      <c r="G27" s="1340">
        <f t="shared" si="1"/>
        <v>251120</v>
      </c>
      <c r="H27" s="1340">
        <f t="shared" si="1"/>
        <v>342256</v>
      </c>
      <c r="I27" s="1340">
        <f t="shared" si="1"/>
        <v>762070</v>
      </c>
      <c r="J27" s="1340">
        <f t="shared" si="1"/>
        <v>0</v>
      </c>
      <c r="K27" s="1340">
        <f t="shared" si="1"/>
        <v>30986</v>
      </c>
      <c r="L27" s="1337">
        <f t="shared" si="0"/>
        <v>1044176</v>
      </c>
      <c r="M27" s="1340">
        <f>SUM(M12:M26)</f>
        <v>806029</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Carlinville CUSD 1</v>
      </c>
      <c r="B1" s="2435"/>
      <c r="C1" s="2435"/>
      <c r="D1" s="2435"/>
      <c r="E1" s="2435"/>
      <c r="F1" s="2435"/>
    </row>
    <row r="2" spans="1:7" ht="13.5" customHeight="1" x14ac:dyDescent="0.2">
      <c r="A2" s="2431">
        <f>'Single Audit Cover'!E7</f>
        <v>40056001026</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2143</v>
      </c>
      <c r="B7" s="2434"/>
      <c r="C7" s="2434"/>
      <c r="D7" s="2434"/>
      <c r="E7" s="2434"/>
      <c r="F7" s="243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1730</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t="s">
        <v>2145</v>
      </c>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2144</v>
      </c>
      <c r="B32" s="2442"/>
      <c r="C32" s="2442"/>
      <c r="D32" s="2442"/>
      <c r="E32" s="2442"/>
      <c r="F32" s="2442"/>
    </row>
    <row r="33" spans="1:6" ht="13.5" customHeight="1" x14ac:dyDescent="0.2">
      <c r="A33" s="328" t="s">
        <v>1434</v>
      </c>
      <c r="B33" s="328"/>
      <c r="C33" s="1285">
        <f>+' SEFA'!I22</f>
        <v>21042</v>
      </c>
      <c r="D33" s="1903"/>
      <c r="E33" s="1283"/>
    </row>
    <row r="34" spans="1:6" ht="13.5" customHeight="1" x14ac:dyDescent="0.2">
      <c r="A34" s="328" t="s">
        <v>1836</v>
      </c>
      <c r="B34" s="328"/>
      <c r="C34" s="1286">
        <f>+' SEFA'!I23</f>
        <v>19982</v>
      </c>
      <c r="D34" s="1903" t="s">
        <v>1589</v>
      </c>
      <c r="E34" s="2443">
        <f>+C33+C34</f>
        <v>41024</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 zoomScale="110" zoomScaleNormal="110" workbookViewId="0">
      <selection activeCell="G18" sqref="G1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Carlinville CUSD 1</v>
      </c>
      <c r="C1" s="2451"/>
      <c r="D1" s="2451"/>
      <c r="E1" s="2451"/>
      <c r="F1" s="2451"/>
      <c r="G1" s="2451"/>
      <c r="H1" s="2451"/>
      <c r="I1" s="2451"/>
      <c r="J1" s="1406"/>
    </row>
    <row r="2" spans="2:10" s="317" customFormat="1" ht="12.75" customHeight="1" x14ac:dyDescent="0.2">
      <c r="B2" s="2452">
        <f>'Single Audit Cover'!E7</f>
        <v>40056001026</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t="s">
        <v>2146</v>
      </c>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t="s">
        <v>2147</v>
      </c>
      <c r="E29" s="2457"/>
      <c r="F29" s="2457"/>
      <c r="G29" s="2457"/>
      <c r="H29" s="2457"/>
      <c r="I29" s="2457"/>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58" t="s">
        <v>1749</v>
      </c>
      <c r="D37" s="2459"/>
      <c r="E37" s="2459"/>
      <c r="F37" s="2460"/>
      <c r="G37" s="2458" t="s">
        <v>1592</v>
      </c>
      <c r="H37" s="2459"/>
      <c r="I37" s="2460"/>
    </row>
    <row r="38" spans="2:9" ht="16.5" customHeight="1" x14ac:dyDescent="0.2">
      <c r="B38" s="1428">
        <v>84.01</v>
      </c>
      <c r="C38" s="2446" t="s">
        <v>2148</v>
      </c>
      <c r="D38" s="2447"/>
      <c r="E38" s="2447"/>
      <c r="F38" s="2448"/>
      <c r="G38" s="2461">
        <v>322555</v>
      </c>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322555</v>
      </c>
      <c r="H43" s="2467"/>
      <c r="I43" s="2467"/>
    </row>
    <row r="44" spans="2:9" ht="12.75" customHeight="1" x14ac:dyDescent="0.2"/>
    <row r="45" spans="2:9" ht="12.75" customHeight="1" x14ac:dyDescent="0.2">
      <c r="B45" s="1419" t="s">
        <v>1839</v>
      </c>
      <c r="D45" s="2468">
        <f>+' SEFA (5)'!I27</f>
        <v>762070</v>
      </c>
      <c r="E45" s="2469"/>
    </row>
    <row r="46" spans="2:9" ht="5.25" customHeight="1" x14ac:dyDescent="0.2">
      <c r="B46" s="1429"/>
      <c r="D46" s="1430"/>
      <c r="E46" s="1431"/>
    </row>
    <row r="47" spans="2:9" ht="12.75" customHeight="1" x14ac:dyDescent="0.2">
      <c r="B47" s="1297" t="s">
        <v>1594</v>
      </c>
      <c r="C47" s="1297"/>
      <c r="D47" s="1432">
        <f>+G43/D45</f>
        <v>0.42326164263125432</v>
      </c>
      <c r="E47" s="1433"/>
      <c r="F47" s="1434"/>
      <c r="I47" s="1435"/>
    </row>
    <row r="48" spans="2:9" ht="9.9499999999999993" customHeight="1" x14ac:dyDescent="0.2"/>
    <row r="49" spans="1:9" x14ac:dyDescent="0.2">
      <c r="B49" s="1365" t="s">
        <v>1273</v>
      </c>
      <c r="C49" s="1279"/>
      <c r="D49" s="1279"/>
      <c r="E49" s="2470">
        <v>750000</v>
      </c>
      <c r="F49" s="2470"/>
      <c r="G49" s="2470"/>
      <c r="H49" s="322"/>
    </row>
    <row r="51" spans="1:9" ht="13.5" customHeight="1" x14ac:dyDescent="0.2">
      <c r="B51" s="1365" t="s">
        <v>1272</v>
      </c>
      <c r="C51" s="1279"/>
      <c r="E51" s="1422"/>
      <c r="F51" s="1297" t="s">
        <v>885</v>
      </c>
      <c r="G51" s="1422" t="s">
        <v>2062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B1" sqref="B1:K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Carlinville CUSD 1</v>
      </c>
      <c r="C1" s="2450"/>
      <c r="D1" s="2450"/>
      <c r="E1" s="2450"/>
      <c r="F1" s="2450"/>
      <c r="G1" s="2450"/>
      <c r="H1" s="2450"/>
      <c r="I1" s="2450"/>
      <c r="J1" s="2450"/>
      <c r="K1" s="2450"/>
      <c r="L1" s="1371"/>
      <c r="M1" s="1371"/>
    </row>
    <row r="2" spans="1:13" ht="12" customHeight="1" x14ac:dyDescent="0.2">
      <c r="B2" s="2452">
        <f>'Single Audit Cover'!E7</f>
        <v>40056001026</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t="s">
        <v>2125</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t="s">
        <v>2149</v>
      </c>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2"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Carlinville CUSD 1</v>
      </c>
      <c r="C1" s="2477"/>
      <c r="D1" s="2477"/>
      <c r="E1" s="2477"/>
      <c r="F1" s="2477"/>
      <c r="G1" s="2477"/>
      <c r="H1" s="2477"/>
      <c r="I1" s="2477"/>
      <c r="J1" s="2477"/>
      <c r="K1" s="2477"/>
      <c r="L1" s="1449"/>
    </row>
    <row r="2" spans="1:12" ht="12.75" customHeight="1" x14ac:dyDescent="0.2">
      <c r="B2" s="2478">
        <f>'Single Audit Cover'!E7</f>
        <v>40056001026</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v>1</v>
      </c>
      <c r="E8" s="322"/>
      <c r="F8" s="1381" t="s">
        <v>1295</v>
      </c>
      <c r="G8" s="1453" t="s">
        <v>2062</v>
      </c>
      <c r="H8" s="1454" t="s">
        <v>1307</v>
      </c>
      <c r="I8" s="1453"/>
      <c r="J8" s="1455" t="s">
        <v>1306</v>
      </c>
      <c r="L8" s="322"/>
    </row>
    <row r="9" spans="1:12" ht="13.5" customHeight="1" x14ac:dyDescent="0.2">
      <c r="D9" s="322"/>
      <c r="E9" s="322"/>
      <c r="F9" s="322"/>
      <c r="G9" s="1380"/>
      <c r="H9" s="322"/>
      <c r="I9" s="1456" t="s">
        <v>1292</v>
      </c>
      <c r="J9" s="322"/>
      <c r="K9" s="1457">
        <v>1</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t="s">
        <v>2150</v>
      </c>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t="s">
        <v>2105</v>
      </c>
      <c r="E14" s="2480"/>
      <c r="F14" s="2480"/>
      <c r="H14" s="1459" t="s">
        <v>1303</v>
      </c>
      <c r="I14" s="2481">
        <v>10.555</v>
      </c>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t="s">
        <v>405</v>
      </c>
      <c r="E16" s="2481"/>
      <c r="F16" s="2481"/>
      <c r="G16" s="2481"/>
      <c r="H16" s="2481"/>
      <c r="I16" s="2481"/>
      <c r="J16" s="2481"/>
      <c r="K16" s="2481"/>
      <c r="L16" s="322"/>
    </row>
    <row r="17" spans="2:12" ht="13.5" customHeight="1" x14ac:dyDescent="0.2">
      <c r="B17" s="1384" t="s">
        <v>1301</v>
      </c>
      <c r="C17" s="1384"/>
      <c r="D17" s="2482" t="s">
        <v>2151</v>
      </c>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t="s">
        <v>2153</v>
      </c>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2" t="s">
        <v>2152</v>
      </c>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2" t="s">
        <v>2154</v>
      </c>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2" t="s">
        <v>2155</v>
      </c>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t="s">
        <v>2156</v>
      </c>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t="s">
        <v>2157</v>
      </c>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t="s">
        <v>2158</v>
      </c>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2" t="s">
        <v>2159</v>
      </c>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 sqref="A4:F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Carlinville CUSD 1</v>
      </c>
      <c r="C1" s="2450"/>
      <c r="D1" s="2450"/>
      <c r="E1" s="1469"/>
    </row>
    <row r="2" spans="2:5" s="1279" customFormat="1" ht="12.75" customHeight="1" x14ac:dyDescent="0.2">
      <c r="B2" s="2452">
        <f>'Single Audit Cover'!E7</f>
        <v>40056001026</v>
      </c>
      <c r="C2" s="2452"/>
      <c r="D2" s="2452"/>
      <c r="E2" s="1470"/>
    </row>
    <row r="3" spans="2:5" ht="12.75" customHeight="1" x14ac:dyDescent="0.2">
      <c r="B3" s="2473" t="s">
        <v>1764</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t="s">
        <v>2160</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C00000"/>
  </sheetPr>
  <dimension ref="A1:N72"/>
  <sheetViews>
    <sheetView showGridLines="0" defaultGridColor="0" topLeftCell="A25" colorId="8" zoomScale="110" zoomScaleNormal="110" workbookViewId="0">
      <selection activeCell="F25" sqref="F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158592476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2.14389E-2</v>
      </c>
      <c r="E10" s="356" t="s">
        <v>1005</v>
      </c>
      <c r="F10" s="355">
        <v>4.9427000000000004E-3</v>
      </c>
      <c r="G10" s="356" t="s">
        <v>1005</v>
      </c>
      <c r="H10" s="355">
        <v>2.1007E-3</v>
      </c>
      <c r="I10" s="356" t="s">
        <v>1006</v>
      </c>
      <c r="J10" s="1732">
        <f>ROUND(D10+F10+H10,5)</f>
        <v>2.8479999999999998E-2</v>
      </c>
      <c r="K10" s="222"/>
      <c r="L10" s="355">
        <v>3.0899999999999999E-5</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12116608</v>
      </c>
      <c r="E16" s="356"/>
      <c r="F16" s="1733">
        <f>SUM('Acct Summary 7-8'!C17,'Acct Summary 7-8'!D17,'Acct Summary 7-8'!F17)</f>
        <v>11798610</v>
      </c>
      <c r="G16" s="356"/>
      <c r="H16" s="1733">
        <f>SUM(D16-F16)</f>
        <v>317998</v>
      </c>
      <c r="I16" s="222"/>
      <c r="J16" s="1733">
        <f>SUM('Acct Summary 7-8'!C81,'Acct Summary 7-8'!D81,'Acct Summary 7-8'!F81,'Acct Summary 7-8'!I81)</f>
        <v>8252250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21885761.688000001</v>
      </c>
      <c r="I31" s="368"/>
      <c r="J31" s="222"/>
      <c r="K31" s="222"/>
      <c r="L31" s="222"/>
      <c r="M31" s="222"/>
    </row>
    <row r="32" spans="1:13" ht="13.35" customHeight="1" x14ac:dyDescent="0.2">
      <c r="B32" s="369" t="s">
        <v>2062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2931221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C00000"/>
  </sheetPr>
  <dimension ref="A1:R44"/>
  <sheetViews>
    <sheetView showGridLines="0" topLeftCell="A28"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Carlinville CUSD 1</v>
      </c>
      <c r="E7" s="391"/>
      <c r="G7" s="252"/>
      <c r="H7" s="387"/>
      <c r="I7" s="387"/>
      <c r="J7" s="387"/>
      <c r="K7" s="387"/>
      <c r="L7" s="329"/>
      <c r="M7" s="329"/>
      <c r="N7" s="329"/>
      <c r="O7" s="329"/>
      <c r="P7" s="329"/>
    </row>
    <row r="8" spans="1:18" ht="12.75" x14ac:dyDescent="0.2">
      <c r="A8" s="329"/>
      <c r="B8" s="329"/>
      <c r="C8" s="389" t="s">
        <v>1125</v>
      </c>
      <c r="D8" s="392">
        <f>COVER!A13</f>
        <v>40056001026</v>
      </c>
      <c r="E8" s="393"/>
      <c r="G8" s="329"/>
      <c r="H8" s="329"/>
      <c r="I8" s="329"/>
      <c r="J8" s="329"/>
      <c r="K8" s="329"/>
      <c r="L8" s="329"/>
      <c r="M8" s="329"/>
      <c r="N8" s="329"/>
      <c r="O8" s="329"/>
      <c r="P8" s="329"/>
    </row>
    <row r="9" spans="1:18" ht="12.75" x14ac:dyDescent="0.2">
      <c r="A9" s="329"/>
      <c r="B9" s="329"/>
      <c r="C9" s="389" t="s">
        <v>713</v>
      </c>
      <c r="D9" s="394" t="str">
        <f>COVER!A15</f>
        <v>MACOUPIN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8252250</v>
      </c>
      <c r="I12" s="404"/>
      <c r="J12" s="404"/>
      <c r="K12" s="405">
        <f>TRUNC((H12/H13*100000),5)/100000</f>
        <v>0.68106932230000006</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12116608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11798610</v>
      </c>
      <c r="I17" s="404"/>
      <c r="J17" s="416"/>
      <c r="K17" s="405">
        <f>TRUNC((H17/H18*100000),5)/100000</f>
        <v>0.97375519610000005</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12116608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8356815</v>
      </c>
      <c r="I24" s="422"/>
      <c r="J24" s="422"/>
      <c r="K24" s="423">
        <f>TRUNC(((H24/H25*100000)/100000),2)</f>
        <v>254.98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32773.916669999999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3839206.6590100001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2931221</v>
      </c>
      <c r="I32" s="420"/>
      <c r="J32" s="420"/>
      <c r="K32" s="423">
        <f>TRUNC(100-((((H32/H33*100))*100)/100),2)</f>
        <v>86.6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21885761.688000001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00000"/>
  </sheetPr>
  <dimension ref="A1:N44"/>
  <sheetViews>
    <sheetView showGridLines="0" defaultGridColor="0" view="pageBreakPreview" colorId="8" zoomScaleNormal="110" zoomScaleSheetLayoutView="100" workbookViewId="0">
      <pane ySplit="2" topLeftCell="A27" activePane="bottomLeft" state="frozen"/>
      <selection pane="bottomLeft"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f>21465+847343+199991+12000</f>
        <v>1080799</v>
      </c>
      <c r="D4" s="466">
        <f>8993+162435+1</f>
        <v>171429</v>
      </c>
      <c r="E4" s="466">
        <v>141357</v>
      </c>
      <c r="F4" s="466">
        <f>31853+146776+1</f>
        <v>178630</v>
      </c>
      <c r="G4" s="466">
        <v>136105</v>
      </c>
      <c r="H4" s="466">
        <f>27660+144502</f>
        <v>172162</v>
      </c>
      <c r="I4" s="466">
        <f>2452+56502</f>
        <v>58954</v>
      </c>
      <c r="J4" s="467">
        <f>24273+43553</f>
        <v>67826</v>
      </c>
      <c r="K4" s="466">
        <f>15141+40998+1</f>
        <v>56140</v>
      </c>
      <c r="L4" s="466">
        <f>194614+6000+4000+64048+20675+25606</f>
        <v>314943</v>
      </c>
      <c r="M4" s="468"/>
      <c r="N4" s="469"/>
    </row>
    <row r="5" spans="1:14" x14ac:dyDescent="0.2">
      <c r="A5" s="463" t="s">
        <v>992</v>
      </c>
      <c r="B5" s="470">
        <v>120</v>
      </c>
      <c r="C5" s="465">
        <v>2657878</v>
      </c>
      <c r="D5" s="466">
        <v>167218</v>
      </c>
      <c r="E5" s="466"/>
      <c r="F5" s="466">
        <v>151141</v>
      </c>
      <c r="G5" s="466"/>
      <c r="H5" s="466">
        <v>506724</v>
      </c>
      <c r="I5" s="466">
        <f>466645+2048276+1375845</f>
        <v>3890766</v>
      </c>
      <c r="J5" s="467">
        <v>861346</v>
      </c>
      <c r="K5" s="471">
        <v>147260</v>
      </c>
      <c r="L5" s="472">
        <v>754330</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3738677</v>
      </c>
      <c r="D13" s="1737">
        <f t="shared" ref="D13:L13" si="0">SUM(D4:D12)</f>
        <v>338647</v>
      </c>
      <c r="E13" s="1737">
        <f t="shared" si="0"/>
        <v>141357</v>
      </c>
      <c r="F13" s="1737">
        <f t="shared" si="0"/>
        <v>329771</v>
      </c>
      <c r="G13" s="1737">
        <f t="shared" si="0"/>
        <v>136105</v>
      </c>
      <c r="H13" s="1737">
        <f t="shared" si="0"/>
        <v>678886</v>
      </c>
      <c r="I13" s="1737">
        <f t="shared" si="0"/>
        <v>3949720</v>
      </c>
      <c r="J13" s="1737">
        <f t="shared" si="0"/>
        <v>929172</v>
      </c>
      <c r="K13" s="1737">
        <f t="shared" si="0"/>
        <v>203400</v>
      </c>
      <c r="L13" s="1737">
        <f t="shared" si="0"/>
        <v>1069273</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170329</v>
      </c>
      <c r="N16" s="484"/>
    </row>
    <row r="17" spans="1:14" s="485" customFormat="1" ht="12.75" customHeight="1" x14ac:dyDescent="0.2">
      <c r="A17" s="482" t="s">
        <v>1403</v>
      </c>
      <c r="B17" s="483">
        <v>230</v>
      </c>
      <c r="C17" s="477"/>
      <c r="D17" s="477"/>
      <c r="E17" s="477"/>
      <c r="F17" s="477"/>
      <c r="G17" s="477"/>
      <c r="H17" s="477"/>
      <c r="I17" s="477"/>
      <c r="J17" s="477"/>
      <c r="K17" s="477"/>
      <c r="L17" s="477"/>
      <c r="M17" s="467">
        <f>26260053+181682</f>
        <v>26441735</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f>4217751+2909240</f>
        <v>7126991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141357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2789864</v>
      </c>
    </row>
    <row r="23" spans="1:14" ht="13.5" customHeight="1" thickBot="1" x14ac:dyDescent="0.25">
      <c r="A23" s="1736" t="s">
        <v>643</v>
      </c>
      <c r="B23" s="1741"/>
      <c r="C23" s="468"/>
      <c r="D23" s="468"/>
      <c r="E23" s="468"/>
      <c r="F23" s="468"/>
      <c r="G23" s="468"/>
      <c r="H23" s="468"/>
      <c r="I23" s="468"/>
      <c r="J23" s="468"/>
      <c r="K23" s="468"/>
      <c r="L23" s="468"/>
      <c r="M23" s="1688">
        <f>SUM(M15:M22)</f>
        <v>33739055</v>
      </c>
      <c r="N23" s="1688">
        <f>SUM(N21:N22)</f>
        <v>2931221</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98</v>
      </c>
      <c r="D26" s="467"/>
      <c r="E26" s="467"/>
      <c r="F26" s="467"/>
      <c r="G26" s="467"/>
      <c r="H26" s="467"/>
      <c r="I26" s="467"/>
      <c r="J26" s="474"/>
      <c r="K26" s="467"/>
      <c r="L26" s="468"/>
      <c r="M26" s="468"/>
      <c r="N26" s="468"/>
    </row>
    <row r="27" spans="1:14" ht="13.5" customHeight="1" x14ac:dyDescent="0.2">
      <c r="A27" s="473" t="s">
        <v>647</v>
      </c>
      <c r="B27" s="470">
        <v>430</v>
      </c>
      <c r="C27" s="467">
        <f>15227+3851+1286</f>
        <v>20364</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f>22437+3+61663</f>
        <v>84103</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1069273</v>
      </c>
      <c r="M33" s="468"/>
      <c r="N33" s="469"/>
    </row>
    <row r="34" spans="1:14" ht="13.5" customHeight="1" thickBot="1" x14ac:dyDescent="0.25">
      <c r="A34" s="1738" t="s">
        <v>654</v>
      </c>
      <c r="B34" s="1739"/>
      <c r="C34" s="1740">
        <f>SUM(C25:C33)</f>
        <v>104565</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1069273</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2931221</v>
      </c>
    </row>
    <row r="37" spans="1:14" ht="13.5" thickBot="1" x14ac:dyDescent="0.25">
      <c r="A37" s="1736" t="s">
        <v>653</v>
      </c>
      <c r="B37" s="1741"/>
      <c r="C37" s="477"/>
      <c r="D37" s="477"/>
      <c r="E37" s="477"/>
      <c r="F37" s="477"/>
      <c r="G37" s="477"/>
      <c r="H37" s="477"/>
      <c r="I37" s="477"/>
      <c r="J37" s="477"/>
      <c r="K37" s="477"/>
      <c r="L37" s="480"/>
      <c r="M37" s="468"/>
      <c r="N37" s="1688">
        <f>SUM(N36:N36)</f>
        <v>2931221</v>
      </c>
    </row>
    <row r="38" spans="1:14" s="329" customFormat="1" ht="13.5" customHeight="1" thickTop="1" x14ac:dyDescent="0.2">
      <c r="A38" s="496" t="s">
        <v>420</v>
      </c>
      <c r="B38" s="483">
        <v>714</v>
      </c>
      <c r="C38" s="466"/>
      <c r="D38" s="466"/>
      <c r="E38" s="466">
        <v>141357</v>
      </c>
      <c r="F38" s="466"/>
      <c r="G38" s="466">
        <v>136105</v>
      </c>
      <c r="H38" s="466">
        <v>678886</v>
      </c>
      <c r="I38" s="466"/>
      <c r="J38" s="467">
        <v>929172</v>
      </c>
      <c r="K38" s="466">
        <v>203400</v>
      </c>
      <c r="L38" s="481"/>
      <c r="M38" s="497"/>
      <c r="N38" s="497"/>
    </row>
    <row r="39" spans="1:14" s="329" customFormat="1" ht="13.5" customHeight="1" x14ac:dyDescent="0.2">
      <c r="A39" s="496" t="s">
        <v>342</v>
      </c>
      <c r="B39" s="483">
        <v>730</v>
      </c>
      <c r="C39" s="466">
        <v>3634112</v>
      </c>
      <c r="D39" s="466">
        <v>338647</v>
      </c>
      <c r="E39" s="466"/>
      <c r="F39" s="466">
        <v>329771</v>
      </c>
      <c r="G39" s="466"/>
      <c r="H39" s="466"/>
      <c r="I39" s="466">
        <v>3949720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33739055</v>
      </c>
      <c r="N40" s="497"/>
    </row>
    <row r="41" spans="1:14" ht="13.5" customHeight="1" thickBot="1" x14ac:dyDescent="0.25">
      <c r="A41" s="1736" t="s">
        <v>655</v>
      </c>
      <c r="B41" s="1706"/>
      <c r="C41" s="1688">
        <f>(SUM(C34,C37,C38,C39))</f>
        <v>3738677</v>
      </c>
      <c r="D41" s="1688">
        <f t="shared" ref="D41:L41" si="2">SUM(D34,D37,D38:D39)</f>
        <v>338647</v>
      </c>
      <c r="E41" s="1688">
        <f t="shared" si="2"/>
        <v>141357</v>
      </c>
      <c r="F41" s="1688">
        <f t="shared" si="2"/>
        <v>329771</v>
      </c>
      <c r="G41" s="1688">
        <f t="shared" si="2"/>
        <v>136105</v>
      </c>
      <c r="H41" s="1688">
        <f t="shared" si="2"/>
        <v>678886</v>
      </c>
      <c r="I41" s="1688">
        <f t="shared" si="2"/>
        <v>3949720</v>
      </c>
      <c r="J41" s="1688">
        <f t="shared" si="2"/>
        <v>929172</v>
      </c>
      <c r="K41" s="1688">
        <f t="shared" si="2"/>
        <v>203400</v>
      </c>
      <c r="L41" s="1688">
        <f t="shared" si="2"/>
        <v>1069273</v>
      </c>
      <c r="M41" s="1688">
        <f>SUM(M40)</f>
        <v>33739055</v>
      </c>
      <c r="N41" s="1688">
        <f>SUM(N37)</f>
        <v>2931221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00000"/>
  </sheetPr>
  <dimension ref="A1:M87"/>
  <sheetViews>
    <sheetView showGridLines="0" defaultGridColor="0" colorId="8" zoomScale="110" zoomScaleNormal="110" zoomScaleSheetLayoutView="100" workbookViewId="0">
      <pane ySplit="2" topLeftCell="A69" activePane="bottomLeft" state="frozen"/>
      <selection pane="bottomLeft" activeCell="C72" sqref="C7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4250935</v>
      </c>
      <c r="D4" s="1742">
        <f>'Revenues 9-14'!D109</f>
        <v>803433</v>
      </c>
      <c r="E4" s="1742">
        <f>'Revenues 9-14'!E109</f>
        <v>1004655</v>
      </c>
      <c r="F4" s="1742">
        <f>'Revenues 9-14'!F109</f>
        <v>331961</v>
      </c>
      <c r="G4" s="1742">
        <f>'Revenues 9-14'!G109</f>
        <v>406624</v>
      </c>
      <c r="H4" s="1742">
        <f>'Revenues 9-14'!H109</f>
        <v>440049</v>
      </c>
      <c r="I4" s="1742">
        <f>'Revenues 9-14'!I109</f>
        <v>52924</v>
      </c>
      <c r="J4" s="1742">
        <f>'Revenues 9-14'!J109</f>
        <v>60946</v>
      </c>
      <c r="K4" s="1742">
        <f>'Revenues 9-14'!K109</f>
        <v>52269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5377132</v>
      </c>
      <c r="D6" s="1743">
        <f>'Revenues 9-14'!D170</f>
        <v>200000</v>
      </c>
      <c r="E6" s="1743">
        <f>'Revenues 9-14'!E170</f>
        <v>0</v>
      </c>
      <c r="F6" s="1743">
        <f>'Revenues 9-14'!F170</f>
        <v>372863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727360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10355427</v>
      </c>
      <c r="D8" s="1688">
        <f t="shared" ref="D8:K8" si="0">SUM(D4:D7)</f>
        <v>1003433</v>
      </c>
      <c r="E8" s="1688">
        <f t="shared" si="0"/>
        <v>1004655</v>
      </c>
      <c r="F8" s="1688">
        <f t="shared" si="0"/>
        <v>704824</v>
      </c>
      <c r="G8" s="1688">
        <f t="shared" si="0"/>
        <v>406624</v>
      </c>
      <c r="H8" s="1688">
        <f t="shared" si="0"/>
        <v>440049</v>
      </c>
      <c r="I8" s="1688">
        <f t="shared" si="0"/>
        <v>52924</v>
      </c>
      <c r="J8" s="1688">
        <f t="shared" si="0"/>
        <v>60946</v>
      </c>
      <c r="K8" s="1688">
        <f t="shared" si="0"/>
        <v>52269</v>
      </c>
      <c r="L8" s="347"/>
    </row>
    <row r="9" spans="1:13" ht="15.75" thickTop="1" x14ac:dyDescent="0.2">
      <c r="A9" s="514" t="s">
        <v>1653</v>
      </c>
      <c r="B9" s="515">
        <v>3998</v>
      </c>
      <c r="C9" s="481">
        <v>3802405</v>
      </c>
      <c r="D9" s="516"/>
      <c r="E9" s="481"/>
      <c r="F9" s="481"/>
      <c r="G9" s="517"/>
      <c r="H9" s="481"/>
      <c r="I9" s="509" t="s">
        <v>1169</v>
      </c>
      <c r="J9" s="478"/>
      <c r="K9" s="481"/>
      <c r="L9" s="347"/>
    </row>
    <row r="10" spans="1:13" s="519" customFormat="1" ht="13.5" thickBot="1" x14ac:dyDescent="0.25">
      <c r="A10" s="1736" t="s">
        <v>1173</v>
      </c>
      <c r="B10" s="1709"/>
      <c r="C10" s="1688">
        <f>SUM(C8:C9)</f>
        <v>14157832</v>
      </c>
      <c r="D10" s="1688">
        <f t="shared" ref="D10:K10" si="1">SUM(D8:D9)</f>
        <v>1003433</v>
      </c>
      <c r="E10" s="1688">
        <f t="shared" si="1"/>
        <v>1004655</v>
      </c>
      <c r="F10" s="1688">
        <f t="shared" si="1"/>
        <v>704824</v>
      </c>
      <c r="G10" s="1688">
        <f t="shared" si="1"/>
        <v>406624</v>
      </c>
      <c r="H10" s="1688">
        <f t="shared" si="1"/>
        <v>440049</v>
      </c>
      <c r="I10" s="1688">
        <f t="shared" si="1"/>
        <v>52924</v>
      </c>
      <c r="J10" s="1688">
        <f t="shared" si="1"/>
        <v>60946</v>
      </c>
      <c r="K10" s="1688">
        <f t="shared" si="1"/>
        <v>52269</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5797144</v>
      </c>
      <c r="D12" s="520" t="s">
        <v>1169</v>
      </c>
      <c r="E12" s="468" t="s">
        <v>1169</v>
      </c>
      <c r="F12" s="468" t="s">
        <v>1169</v>
      </c>
      <c r="G12" s="1742">
        <f>'Expenditures 15-22'!K229</f>
        <v>92270</v>
      </c>
      <c r="H12" s="521"/>
      <c r="I12" s="468" t="s">
        <v>1169</v>
      </c>
      <c r="J12" s="468" t="s">
        <v>1169</v>
      </c>
      <c r="K12" s="521" t="s">
        <v>1169</v>
      </c>
      <c r="L12" s="347"/>
    </row>
    <row r="13" spans="1:13" ht="15.75" customHeight="1" x14ac:dyDescent="0.2">
      <c r="A13" s="1576" t="s">
        <v>457</v>
      </c>
      <c r="B13" s="1578">
        <v>2000</v>
      </c>
      <c r="C13" s="1743">
        <f>'Expenditures 15-22'!K74</f>
        <v>2656984</v>
      </c>
      <c r="D13" s="1743">
        <f>'Expenditures 15-22'!K129</f>
        <v>1056934</v>
      </c>
      <c r="E13" s="469" t="s">
        <v>1169</v>
      </c>
      <c r="F13" s="1743">
        <f>'Expenditures 15-22'!K184</f>
        <v>753732</v>
      </c>
      <c r="G13" s="1743">
        <f>'Expenditures 15-22'!K279</f>
        <v>285314</v>
      </c>
      <c r="H13" s="1743">
        <f>'Expenditures 15-22'!K303</f>
        <v>326037</v>
      </c>
      <c r="I13" s="468" t="s">
        <v>1169</v>
      </c>
      <c r="J13" s="1743">
        <f>'Expenditures 15-22'!K330</f>
        <v>235128</v>
      </c>
      <c r="K13" s="1747">
        <f>'Expenditures 15-22'!K352</f>
        <v>85412</v>
      </c>
      <c r="L13" s="347"/>
    </row>
    <row r="14" spans="1:13" ht="15.75" customHeight="1" x14ac:dyDescent="0.2">
      <c r="A14" s="1576" t="s">
        <v>449</v>
      </c>
      <c r="B14" s="1578">
        <v>3000</v>
      </c>
      <c r="C14" s="1743">
        <f>'Expenditures 15-22'!K75</f>
        <v>4024</v>
      </c>
      <c r="D14" s="1743">
        <f>'Expenditures 15-22'!K130</f>
        <v>0</v>
      </c>
      <c r="E14" s="520" t="s">
        <v>1169</v>
      </c>
      <c r="F14" s="1743">
        <f>'Expenditures 15-22'!K185</f>
        <v>0</v>
      </c>
      <c r="G14" s="1743">
        <f>'Expenditures 15-22'!K280</f>
        <v>96</v>
      </c>
      <c r="H14" s="512"/>
      <c r="I14" s="468" t="s">
        <v>1169</v>
      </c>
      <c r="J14" s="468" t="s">
        <v>1169</v>
      </c>
      <c r="K14" s="512" t="s">
        <v>1169</v>
      </c>
      <c r="L14" s="347"/>
    </row>
    <row r="15" spans="1:13" ht="15.75" customHeight="1" x14ac:dyDescent="0.2">
      <c r="A15" s="1576" t="s">
        <v>107</v>
      </c>
      <c r="B15" s="1578">
        <v>4000</v>
      </c>
      <c r="C15" s="1743">
        <f>'Expenditures 15-22'!K102</f>
        <v>1529792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1004657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9987944</v>
      </c>
      <c r="D17" s="1688">
        <f t="shared" si="2"/>
        <v>1056934</v>
      </c>
      <c r="E17" s="1688">
        <f t="shared" si="2"/>
        <v>1004657</v>
      </c>
      <c r="F17" s="1688">
        <f t="shared" si="2"/>
        <v>753732</v>
      </c>
      <c r="G17" s="1688">
        <f t="shared" si="2"/>
        <v>377680</v>
      </c>
      <c r="H17" s="1688">
        <f t="shared" si="2"/>
        <v>326037</v>
      </c>
      <c r="I17" s="468"/>
      <c r="J17" s="1688">
        <f>SUM(J12:J16)</f>
        <v>235128</v>
      </c>
      <c r="K17" s="1688">
        <f>SUM(K12:K16)</f>
        <v>85412</v>
      </c>
      <c r="L17" s="347"/>
    </row>
    <row r="18" spans="1:12" ht="15" customHeight="1" thickTop="1" x14ac:dyDescent="0.2">
      <c r="A18" s="1744" t="s">
        <v>1654</v>
      </c>
      <c r="B18" s="1745">
        <v>4180</v>
      </c>
      <c r="C18" s="1742">
        <f t="shared" ref="C18:H18" si="3">C9</f>
        <v>3802405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13790349</v>
      </c>
      <c r="D19" s="1688">
        <f t="shared" si="4"/>
        <v>1056934</v>
      </c>
      <c r="E19" s="1688">
        <f t="shared" si="4"/>
        <v>1004657</v>
      </c>
      <c r="F19" s="1688">
        <f t="shared" si="4"/>
        <v>753732</v>
      </c>
      <c r="G19" s="1688">
        <f t="shared" si="4"/>
        <v>377680</v>
      </c>
      <c r="H19" s="1688">
        <f t="shared" si="4"/>
        <v>326037</v>
      </c>
      <c r="I19" s="468"/>
      <c r="J19" s="1688">
        <f>SUM(J17:J18)</f>
        <v>235128</v>
      </c>
      <c r="K19" s="1688">
        <f>SUM(K17:K18)</f>
        <v>85412</v>
      </c>
      <c r="L19" s="347"/>
    </row>
    <row r="20" spans="1:12" ht="16.5" thickTop="1" thickBot="1" x14ac:dyDescent="0.25">
      <c r="A20" s="2123" t="s">
        <v>1655</v>
      </c>
      <c r="B20" s="2124"/>
      <c r="C20" s="1746">
        <f>C8-C17</f>
        <v>367483</v>
      </c>
      <c r="D20" s="1746">
        <f t="shared" ref="D20:K20" si="5">D8-D17</f>
        <v>-53501</v>
      </c>
      <c r="E20" s="1746">
        <f t="shared" si="5"/>
        <v>-2</v>
      </c>
      <c r="F20" s="1746">
        <f t="shared" si="5"/>
        <v>-48908</v>
      </c>
      <c r="G20" s="1746">
        <f t="shared" si="5"/>
        <v>28944</v>
      </c>
      <c r="H20" s="1746">
        <f t="shared" si="5"/>
        <v>114012</v>
      </c>
      <c r="I20" s="1746">
        <f t="shared" si="5"/>
        <v>52924</v>
      </c>
      <c r="J20" s="1746">
        <f t="shared" si="5"/>
        <v>-174182</v>
      </c>
      <c r="K20" s="1746">
        <f t="shared" si="5"/>
        <v>-33143</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47784</v>
      </c>
      <c r="D43" s="467"/>
      <c r="E43" s="467"/>
      <c r="F43" s="467"/>
      <c r="G43" s="467"/>
      <c r="H43" s="467"/>
      <c r="I43" s="467"/>
      <c r="J43" s="467"/>
      <c r="K43" s="467"/>
      <c r="L43" s="524"/>
    </row>
    <row r="44" spans="1:12" s="485" customFormat="1" ht="13.5" customHeight="1" thickBot="1" x14ac:dyDescent="0.25">
      <c r="A44" s="2137" t="s">
        <v>374</v>
      </c>
      <c r="B44" s="2138"/>
      <c r="C44" s="1703">
        <f>SUM(C24:C43)</f>
        <v>47784</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47784</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415267</v>
      </c>
      <c r="D78" s="1702">
        <f t="shared" si="9"/>
        <v>-53501</v>
      </c>
      <c r="E78" s="1702">
        <f t="shared" si="9"/>
        <v>-2</v>
      </c>
      <c r="F78" s="1702">
        <f t="shared" si="9"/>
        <v>-48908</v>
      </c>
      <c r="G78" s="1702">
        <f t="shared" si="9"/>
        <v>28944</v>
      </c>
      <c r="H78" s="1702">
        <f t="shared" si="9"/>
        <v>114012</v>
      </c>
      <c r="I78" s="1702">
        <f t="shared" si="9"/>
        <v>52924</v>
      </c>
      <c r="J78" s="1702">
        <f t="shared" si="9"/>
        <v>-174182</v>
      </c>
      <c r="K78" s="1702">
        <f t="shared" si="9"/>
        <v>-33143</v>
      </c>
      <c r="L78" s="533"/>
    </row>
    <row r="79" spans="1:12" ht="13.5" thickTop="1" x14ac:dyDescent="0.2">
      <c r="A79" s="1494" t="s">
        <v>1947</v>
      </c>
      <c r="B79" s="534"/>
      <c r="C79" s="478">
        <v>3218845</v>
      </c>
      <c r="D79" s="535">
        <v>392148</v>
      </c>
      <c r="E79" s="535">
        <v>141359</v>
      </c>
      <c r="F79" s="535">
        <v>378679</v>
      </c>
      <c r="G79" s="535">
        <v>107161</v>
      </c>
      <c r="H79" s="535">
        <v>564874</v>
      </c>
      <c r="I79" s="535">
        <v>3896796</v>
      </c>
      <c r="J79" s="535">
        <v>1103354</v>
      </c>
      <c r="K79" s="535">
        <v>236543</v>
      </c>
      <c r="L79" s="347"/>
    </row>
    <row r="80" spans="1:12" x14ac:dyDescent="0.2">
      <c r="A80" s="2125" t="s">
        <v>1793</v>
      </c>
      <c r="B80" s="2126"/>
      <c r="C80" s="467"/>
      <c r="D80" s="467"/>
      <c r="E80" s="467"/>
      <c r="F80" s="467"/>
      <c r="G80" s="467"/>
      <c r="H80" s="467"/>
      <c r="I80" s="467"/>
      <c r="J80" s="467"/>
      <c r="K80" s="467"/>
      <c r="L80" s="347"/>
    </row>
    <row r="81" spans="1:12" ht="13.5" thickBot="1" x14ac:dyDescent="0.25">
      <c r="A81" s="2117" t="s">
        <v>1948</v>
      </c>
      <c r="B81" s="2118"/>
      <c r="C81" s="1688">
        <f>(SUM(C78:C80))</f>
        <v>3634112</v>
      </c>
      <c r="D81" s="1688">
        <f>SUM(D78:D80)</f>
        <v>338647</v>
      </c>
      <c r="E81" s="1688">
        <f t="shared" ref="E81:K81" si="10">SUM(E78:E80)</f>
        <v>141357</v>
      </c>
      <c r="F81" s="1688">
        <f t="shared" si="10"/>
        <v>329771</v>
      </c>
      <c r="G81" s="1688">
        <f t="shared" si="10"/>
        <v>136105</v>
      </c>
      <c r="H81" s="1688">
        <f t="shared" si="10"/>
        <v>678886</v>
      </c>
      <c r="I81" s="1688">
        <f t="shared" si="10"/>
        <v>3949720</v>
      </c>
      <c r="J81" s="1688">
        <f t="shared" si="10"/>
        <v>929172</v>
      </c>
      <c r="K81" s="1688">
        <f t="shared" si="10"/>
        <v>203400</v>
      </c>
      <c r="L81" s="347"/>
    </row>
    <row r="82" spans="1:12" ht="0.75" customHeight="1" thickTop="1" thickBot="1" x14ac:dyDescent="0.25">
      <c r="A82" s="536" t="s">
        <v>343</v>
      </c>
      <c r="B82" s="537"/>
      <c r="C82" s="538">
        <f>(C81-C79)</f>
        <v>415267</v>
      </c>
      <c r="D82" s="538">
        <f t="shared" ref="D82:K82" si="11">(D81-D79)</f>
        <v>-53501</v>
      </c>
      <c r="E82" s="538">
        <f t="shared" si="11"/>
        <v>-2</v>
      </c>
      <c r="F82" s="538">
        <f t="shared" si="11"/>
        <v>-48908</v>
      </c>
      <c r="G82" s="538">
        <f t="shared" si="11"/>
        <v>28944</v>
      </c>
      <c r="H82" s="538">
        <f t="shared" si="11"/>
        <v>114012</v>
      </c>
      <c r="I82" s="538">
        <f t="shared" si="11"/>
        <v>52924</v>
      </c>
      <c r="J82" s="538">
        <f t="shared" si="11"/>
        <v>-174182</v>
      </c>
      <c r="K82" s="538">
        <f t="shared" si="11"/>
        <v>-33143</v>
      </c>
    </row>
    <row r="83" spans="1:12" ht="14.25" hidden="1" thickTop="1" thickBot="1" x14ac:dyDescent="0.25">
      <c r="A83" s="539" t="s">
        <v>344</v>
      </c>
      <c r="B83" s="464"/>
      <c r="C83" s="540">
        <f>C82/C81</f>
        <v>0.11426918047655107</v>
      </c>
      <c r="D83" s="540">
        <f t="shared" ref="D83:K83" si="12">D82/D81</f>
        <v>-0.15798456800148827</v>
      </c>
      <c r="E83" s="540">
        <f t="shared" si="12"/>
        <v>-1.4148574177437269E-5</v>
      </c>
      <c r="F83" s="540">
        <f t="shared" si="12"/>
        <v>-0.14830897804840329</v>
      </c>
      <c r="G83" s="540">
        <f t="shared" si="12"/>
        <v>0.21265934388890931</v>
      </c>
      <c r="H83" s="540">
        <f t="shared" si="12"/>
        <v>0.16793983084052402</v>
      </c>
      <c r="I83" s="540">
        <f t="shared" si="12"/>
        <v>1.3399430845730836E-2</v>
      </c>
      <c r="J83" s="540">
        <f t="shared" si="12"/>
        <v>-0.18745937243050803</v>
      </c>
      <c r="K83" s="540">
        <f t="shared" si="12"/>
        <v>-0.16294493608652902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00000"/>
  </sheetPr>
  <dimension ref="A1:L279"/>
  <sheetViews>
    <sheetView showGridLines="0" defaultGridColor="0" colorId="8" zoomScale="110" zoomScaleNormal="110" zoomScaleSheetLayoutView="75" workbookViewId="0">
      <pane ySplit="2" topLeftCell="A63" activePane="bottomLeft" state="frozen"/>
      <selection pane="bottomLeft" activeCell="C70" sqref="C7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1800</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3263448</v>
      </c>
      <c r="D5" s="481">
        <v>757588</v>
      </c>
      <c r="E5" s="466">
        <v>990933</v>
      </c>
      <c r="F5" s="548">
        <v>317121</v>
      </c>
      <c r="G5" s="466">
        <v>155496</v>
      </c>
      <c r="H5" s="466"/>
      <c r="I5" s="466">
        <v>5338</v>
      </c>
      <c r="J5" s="467">
        <v>48568</v>
      </c>
      <c r="K5" s="466">
        <v>48568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118488</v>
      </c>
      <c r="D7" s="466"/>
      <c r="E7" s="468"/>
      <c r="F7" s="467"/>
      <c r="G7" s="467"/>
      <c r="H7" s="467"/>
      <c r="I7" s="468"/>
      <c r="J7" s="468"/>
      <c r="K7" s="468"/>
    </row>
    <row r="8" spans="1:12" x14ac:dyDescent="0.2">
      <c r="A8" s="463" t="s">
        <v>413</v>
      </c>
      <c r="B8" s="470">
        <v>1150</v>
      </c>
      <c r="C8" s="475"/>
      <c r="D8" s="475"/>
      <c r="E8" s="477"/>
      <c r="F8" s="477"/>
      <c r="G8" s="481">
        <v>213188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3381936</v>
      </c>
      <c r="D12" s="1707">
        <f t="shared" si="0"/>
        <v>757588</v>
      </c>
      <c r="E12" s="1707">
        <f t="shared" si="0"/>
        <v>990933</v>
      </c>
      <c r="F12" s="1707">
        <f t="shared" si="0"/>
        <v>317121</v>
      </c>
      <c r="G12" s="1707">
        <f t="shared" si="0"/>
        <v>368684</v>
      </c>
      <c r="H12" s="1707">
        <f t="shared" si="0"/>
        <v>0</v>
      </c>
      <c r="I12" s="1707">
        <f t="shared" si="0"/>
        <v>5338</v>
      </c>
      <c r="J12" s="1707">
        <f t="shared" si="0"/>
        <v>48568</v>
      </c>
      <c r="K12" s="1688">
        <f t="shared" si="0"/>
        <v>48568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330699</v>
      </c>
      <c r="D16" s="466"/>
      <c r="E16" s="466">
        <v>10000</v>
      </c>
      <c r="F16" s="466"/>
      <c r="G16" s="466">
        <v>35000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330699</v>
      </c>
      <c r="D18" s="1710">
        <f t="shared" ref="D18:K18" si="1">SUM(D14:D17)</f>
        <v>0</v>
      </c>
      <c r="E18" s="1710">
        <f t="shared" si="1"/>
        <v>10000</v>
      </c>
      <c r="F18" s="1710">
        <f t="shared" si="1"/>
        <v>0</v>
      </c>
      <c r="G18" s="1710">
        <f t="shared" si="1"/>
        <v>35000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2963</v>
      </c>
      <c r="G44" s="468"/>
      <c r="H44" s="468"/>
      <c r="I44" s="468"/>
      <c r="J44" s="468"/>
      <c r="K44" s="468"/>
    </row>
    <row r="45" spans="1:11" ht="12.75" customHeight="1" x14ac:dyDescent="0.2">
      <c r="A45" s="463" t="s">
        <v>240</v>
      </c>
      <c r="B45" s="470">
        <v>1415</v>
      </c>
      <c r="C45" s="468"/>
      <c r="D45" s="468"/>
      <c r="E45" s="468"/>
      <c r="F45" s="466">
        <v>4132</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7095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69407-4</f>
        <v>69403</v>
      </c>
      <c r="D65" s="466">
        <v>7855</v>
      </c>
      <c r="E65" s="466">
        <v>3722</v>
      </c>
      <c r="F65" s="467">
        <f>1+5437</f>
        <v>5438</v>
      </c>
      <c r="G65" s="466">
        <v>2940</v>
      </c>
      <c r="H65" s="466">
        <v>10218</v>
      </c>
      <c r="I65" s="466">
        <v>47586</v>
      </c>
      <c r="J65" s="467">
        <v>12378</v>
      </c>
      <c r="K65" s="466">
        <f>1+3700</f>
        <v>3701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69403</v>
      </c>
      <c r="D67" s="1688">
        <f t="shared" ref="D67:K67" si="2">SUM(D65:D66)</f>
        <v>7855</v>
      </c>
      <c r="E67" s="1688">
        <f t="shared" si="2"/>
        <v>3722</v>
      </c>
      <c r="F67" s="1688">
        <f t="shared" si="2"/>
        <v>5438</v>
      </c>
      <c r="G67" s="1688">
        <f t="shared" si="2"/>
        <v>2940</v>
      </c>
      <c r="H67" s="1688">
        <f t="shared" si="2"/>
        <v>10218</v>
      </c>
      <c r="I67" s="1688">
        <f t="shared" si="2"/>
        <v>47586</v>
      </c>
      <c r="J67" s="1688">
        <f t="shared" si="2"/>
        <v>12378</v>
      </c>
      <c r="K67" s="1688">
        <f t="shared" si="2"/>
        <v>3701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102967</v>
      </c>
      <c r="D69" s="468"/>
      <c r="E69" s="468"/>
      <c r="F69" s="468"/>
      <c r="G69" s="468"/>
      <c r="H69" s="468"/>
      <c r="I69" s="468"/>
      <c r="J69" s="468"/>
      <c r="K69" s="468"/>
    </row>
    <row r="70" spans="1:11" ht="12.75" customHeight="1" x14ac:dyDescent="0.2">
      <c r="A70" s="463" t="s">
        <v>997</v>
      </c>
      <c r="B70" s="470">
        <v>1612</v>
      </c>
      <c r="C70" s="551">
        <v>10604</v>
      </c>
      <c r="D70" s="468"/>
      <c r="E70" s="468"/>
      <c r="F70" s="468"/>
      <c r="G70" s="468"/>
      <c r="H70" s="468"/>
      <c r="I70" s="468"/>
      <c r="J70" s="468"/>
      <c r="K70" s="468"/>
    </row>
    <row r="71" spans="1:11" ht="12.75" customHeight="1" x14ac:dyDescent="0.2">
      <c r="A71" s="463" t="s">
        <v>273</v>
      </c>
      <c r="B71" s="470">
        <v>1613</v>
      </c>
      <c r="C71" s="551">
        <v>61040</v>
      </c>
      <c r="D71" s="468"/>
      <c r="E71" s="468"/>
      <c r="F71" s="468"/>
      <c r="G71" s="468"/>
      <c r="H71" s="468"/>
      <c r="I71" s="468"/>
      <c r="J71" s="468"/>
      <c r="K71" s="468"/>
    </row>
    <row r="72" spans="1:11" ht="12.75" customHeight="1" x14ac:dyDescent="0.2">
      <c r="A72" s="463" t="s">
        <v>24</v>
      </c>
      <c r="B72" s="470">
        <v>1614</v>
      </c>
      <c r="C72" s="551">
        <f>7608+7816</f>
        <v>15424</v>
      </c>
      <c r="D72" s="468"/>
      <c r="E72" s="468"/>
      <c r="F72" s="468"/>
      <c r="G72" s="468"/>
      <c r="H72" s="468"/>
      <c r="I72" s="468"/>
      <c r="J72" s="468"/>
      <c r="K72" s="468"/>
    </row>
    <row r="73" spans="1:11" ht="12.75" customHeight="1" x14ac:dyDescent="0.2">
      <c r="A73" s="463" t="s">
        <v>998</v>
      </c>
      <c r="B73" s="470">
        <v>1620</v>
      </c>
      <c r="C73" s="551">
        <v>5316</v>
      </c>
      <c r="D73" s="468"/>
      <c r="E73" s="468"/>
      <c r="F73" s="468"/>
      <c r="G73" s="468"/>
      <c r="H73" s="468"/>
      <c r="I73" s="468"/>
      <c r="J73" s="468"/>
      <c r="K73" s="468"/>
    </row>
    <row r="74" spans="1:11" ht="12.75" customHeight="1" x14ac:dyDescent="0.2">
      <c r="A74" s="463" t="s">
        <v>25</v>
      </c>
      <c r="B74" s="470">
        <v>1690</v>
      </c>
      <c r="C74" s="551">
        <f>201+3112+28</f>
        <v>3341</v>
      </c>
      <c r="D74" s="468"/>
      <c r="E74" s="468"/>
      <c r="F74" s="468"/>
      <c r="G74" s="468"/>
      <c r="H74" s="468"/>
      <c r="I74" s="468"/>
      <c r="J74" s="468"/>
      <c r="K74" s="468"/>
    </row>
    <row r="75" spans="1:11" ht="12.75" customHeight="1" thickBot="1" x14ac:dyDescent="0.25">
      <c r="A75" s="1708" t="s">
        <v>548</v>
      </c>
      <c r="B75" s="1709"/>
      <c r="C75" s="1688">
        <f>SUM(C69:C74)</f>
        <v>198692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40880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f>15+710+6586+34855+47213+4565+1128+3085</f>
        <v>98157</v>
      </c>
      <c r="D79" s="466">
        <v>9700</v>
      </c>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f>100+458+1114+338+369</f>
        <v>2379</v>
      </c>
      <c r="D81" s="466"/>
      <c r="E81" s="468"/>
      <c r="F81" s="468"/>
      <c r="G81" s="468"/>
      <c r="H81" s="468"/>
      <c r="I81" s="468"/>
      <c r="J81" s="468"/>
      <c r="K81" s="468"/>
    </row>
    <row r="82" spans="1:11" ht="12.75" customHeight="1" thickBot="1" x14ac:dyDescent="0.25">
      <c r="A82" s="1708" t="s">
        <v>241</v>
      </c>
      <c r="B82" s="1709"/>
      <c r="C82" s="1707">
        <f>SUM(C77:C81)</f>
        <v>141416</v>
      </c>
      <c r="D82" s="1688">
        <f>SUM(D77:D81)</f>
        <v>9700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91779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91779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25358</v>
      </c>
      <c r="E95" s="521"/>
      <c r="F95" s="521"/>
      <c r="G95" s="521"/>
      <c r="H95" s="521"/>
      <c r="I95" s="521"/>
      <c r="J95" s="521"/>
      <c r="K95" s="521"/>
    </row>
    <row r="96" spans="1:11" ht="12.75" customHeight="1" x14ac:dyDescent="0.2">
      <c r="A96" s="463" t="s">
        <v>391</v>
      </c>
      <c r="B96" s="470">
        <v>1920</v>
      </c>
      <c r="C96" s="551">
        <v>9485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9747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10950</v>
      </c>
      <c r="D101" s="526"/>
      <c r="E101" s="480"/>
      <c r="F101" s="526"/>
      <c r="G101" s="475"/>
      <c r="H101" s="526"/>
      <c r="I101" s="468"/>
      <c r="J101" s="475"/>
      <c r="K101" s="475"/>
    </row>
    <row r="102" spans="1:12" ht="12.75" customHeight="1" x14ac:dyDescent="0.2">
      <c r="A102" s="463" t="s">
        <v>247</v>
      </c>
      <c r="B102" s="470">
        <v>1980</v>
      </c>
      <c r="C102" s="489">
        <v>3346</v>
      </c>
      <c r="D102" s="489">
        <v>698</v>
      </c>
      <c r="E102" s="489"/>
      <c r="F102" s="489"/>
      <c r="G102" s="489"/>
      <c r="H102" s="489"/>
      <c r="I102" s="467"/>
      <c r="J102" s="489"/>
      <c r="K102" s="467"/>
    </row>
    <row r="103" spans="1:12" ht="12.75" customHeight="1" x14ac:dyDescent="0.2">
      <c r="A103" s="463" t="s">
        <v>345</v>
      </c>
      <c r="B103" s="470">
        <v>1983</v>
      </c>
      <c r="C103" s="468"/>
      <c r="D103" s="468"/>
      <c r="E103" s="560"/>
      <c r="F103" s="468"/>
      <c r="G103" s="468"/>
      <c r="H103" s="489">
        <v>429831</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3482</v>
      </c>
      <c r="D107" s="466">
        <v>2234</v>
      </c>
      <c r="E107" s="466"/>
      <c r="F107" s="466">
        <v>2307</v>
      </c>
      <c r="G107" s="466"/>
      <c r="H107" s="466"/>
      <c r="I107" s="466"/>
      <c r="J107" s="467"/>
      <c r="K107" s="466"/>
    </row>
    <row r="108" spans="1:12" ht="12.75" customHeight="1" thickBot="1" x14ac:dyDescent="0.25">
      <c r="A108" s="1708" t="s">
        <v>487</v>
      </c>
      <c r="B108" s="1712"/>
      <c r="C108" s="1707">
        <f>SUM(C95:C107)</f>
        <v>37010</v>
      </c>
      <c r="D108" s="1707">
        <f t="shared" ref="D108:K108" si="3">SUM(D95:D107)</f>
        <v>28290</v>
      </c>
      <c r="E108" s="1707">
        <f t="shared" si="3"/>
        <v>0</v>
      </c>
      <c r="F108" s="1707">
        <f t="shared" si="3"/>
        <v>2307</v>
      </c>
      <c r="G108" s="1707">
        <f t="shared" si="3"/>
        <v>0</v>
      </c>
      <c r="H108" s="1707">
        <f t="shared" si="3"/>
        <v>429831</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4250935</v>
      </c>
      <c r="D109" s="1715">
        <f t="shared" si="4"/>
        <v>803433</v>
      </c>
      <c r="E109" s="1715">
        <f t="shared" si="4"/>
        <v>1004655</v>
      </c>
      <c r="F109" s="1715">
        <f t="shared" si="4"/>
        <v>331961</v>
      </c>
      <c r="G109" s="1715">
        <f t="shared" si="4"/>
        <v>406624</v>
      </c>
      <c r="H109" s="1715">
        <f t="shared" si="4"/>
        <v>440049</v>
      </c>
      <c r="I109" s="1715">
        <f t="shared" si="4"/>
        <v>52924</v>
      </c>
      <c r="J109" s="1715">
        <f t="shared" si="4"/>
        <v>60946</v>
      </c>
      <c r="K109" s="1702">
        <f t="shared" si="4"/>
        <v>52269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4930863</v>
      </c>
      <c r="D117" s="481">
        <v>200000</v>
      </c>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4930863</v>
      </c>
      <c r="D122" s="1707">
        <f t="shared" si="5"/>
        <v>200000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41179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34979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76158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15289</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f>3775+1805</f>
        <v>5580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20869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5641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21388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244838</v>
      </c>
      <c r="G152" s="467"/>
      <c r="H152" s="468"/>
      <c r="I152" s="468"/>
      <c r="J152" s="468"/>
      <c r="K152" s="468"/>
    </row>
    <row r="153" spans="1:11" ht="12.75" customHeight="1" x14ac:dyDescent="0.2">
      <c r="A153" s="463" t="s">
        <v>1057</v>
      </c>
      <c r="B153" s="562">
        <v>3510</v>
      </c>
      <c r="C153" s="551"/>
      <c r="D153" s="466"/>
      <c r="E153" s="561"/>
      <c r="F153" s="466">
        <v>128025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372863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f>13609+74226</f>
        <v>87835</v>
      </c>
      <c r="D158" s="468"/>
      <c r="E158" s="561"/>
      <c r="F158" s="576"/>
      <c r="G158" s="576"/>
      <c r="H158" s="468"/>
      <c r="I158" s="468"/>
      <c r="J158" s="468"/>
      <c r="K158" s="468"/>
    </row>
    <row r="159" spans="1:11" ht="12.75" customHeight="1" thickTop="1" thickBot="1" x14ac:dyDescent="0.25">
      <c r="A159" s="1500" t="s">
        <v>1051</v>
      </c>
      <c r="B159" s="574">
        <v>3705</v>
      </c>
      <c r="C159" s="576">
        <f>8400+222279</f>
        <v>230679</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2654+1045</f>
        <v>3699</v>
      </c>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446269</v>
      </c>
      <c r="D169" s="1722">
        <f t="shared" si="6"/>
        <v>0</v>
      </c>
      <c r="E169" s="1722">
        <f t="shared" si="6"/>
        <v>0</v>
      </c>
      <c r="F169" s="1722">
        <f t="shared" si="6"/>
        <v>372863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5377132</v>
      </c>
      <c r="D170" s="1715">
        <f t="shared" si="7"/>
        <v>200000</v>
      </c>
      <c r="E170" s="1715">
        <f t="shared" si="7"/>
        <v>0</v>
      </c>
      <c r="F170" s="1715">
        <f t="shared" si="7"/>
        <v>372863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1801</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240808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65945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306753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130520+177243</f>
        <v>307763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307763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f>5139+1225</f>
        <v>6364</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6364</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f>9692+13965</f>
        <v>23657</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23657</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f>20206+29429</f>
        <v>49635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9506</v>
      </c>
      <c r="D263" s="576"/>
      <c r="E263" s="468"/>
      <c r="F263" s="576"/>
      <c r="G263" s="576"/>
      <c r="H263" s="468"/>
      <c r="I263" s="468"/>
      <c r="J263" s="468"/>
      <c r="K263" s="468"/>
    </row>
    <row r="264" spans="1:11" ht="12.75" customHeight="1" thickTop="1" thickBot="1" x14ac:dyDescent="0.25">
      <c r="A264" s="463" t="s">
        <v>377</v>
      </c>
      <c r="B264" s="470">
        <v>4992</v>
      </c>
      <c r="C264" s="575">
        <v>23682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727360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727360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10355427</v>
      </c>
      <c r="D268" s="1715">
        <f t="shared" si="12"/>
        <v>1003433</v>
      </c>
      <c r="E268" s="1715">
        <f t="shared" si="12"/>
        <v>1004655</v>
      </c>
      <c r="F268" s="1715">
        <f t="shared" si="12"/>
        <v>704824</v>
      </c>
      <c r="G268" s="1715">
        <f t="shared" si="12"/>
        <v>406624</v>
      </c>
      <c r="H268" s="1715">
        <f t="shared" si="12"/>
        <v>440049</v>
      </c>
      <c r="I268" s="1715">
        <f t="shared" si="12"/>
        <v>52924</v>
      </c>
      <c r="J268" s="1715">
        <f t="shared" si="12"/>
        <v>60946</v>
      </c>
      <c r="K268" s="1702">
        <f t="shared" si="12"/>
        <v>52269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00000"/>
  </sheetPr>
  <dimension ref="A1:N368"/>
  <sheetViews>
    <sheetView showGridLines="0" defaultGridColor="0" colorId="8" zoomScale="110" zoomScaleNormal="110" workbookViewId="0">
      <pane ySplit="2" topLeftCell="A69" activePane="bottomLeft" state="frozen"/>
      <selection pane="bottomLeft" activeCell="L78" sqref="L7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5993+1265703+21149+42700+17000+815+356667+11543+5540+175+1030416+10400+70+1184733+29655+8957+560+280</f>
        <v>3992356</v>
      </c>
      <c r="D5" s="466">
        <f>2+42613+3447+118216+2831+15352+36880+37144+93261+42518+76+110122</f>
        <v>502462</v>
      </c>
      <c r="E5" s="466">
        <f>1340+177+2916+3254+105+5298+62+22+86+2422+507+1064+1058+10846</f>
        <v>29157</v>
      </c>
      <c r="F5" s="466">
        <f>16674+592+7597+4564+119+8201+200-1217+507+990+387+3702+1648+1053+5668+3489+1494+3335+6595+5538+7172+1133</f>
        <v>79441</v>
      </c>
      <c r="G5" s="466"/>
      <c r="H5" s="466">
        <f>354+847</f>
        <v>1201</v>
      </c>
      <c r="I5" s="467"/>
      <c r="J5" s="467"/>
      <c r="K5" s="1671">
        <f>SUM(C5:J5)</f>
        <v>4604617</v>
      </c>
      <c r="L5" s="466">
        <v>4738898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f>2100+80+2590+240+3990+560+2040+15965+3220</f>
        <v>30785</v>
      </c>
      <c r="D8" s="466">
        <f>1+1+20+491</f>
        <v>513</v>
      </c>
      <c r="E8" s="466"/>
      <c r="F8" s="466">
        <v>566</v>
      </c>
      <c r="G8" s="466"/>
      <c r="H8" s="466"/>
      <c r="I8" s="467"/>
      <c r="J8" s="467"/>
      <c r="K8" s="1671">
        <f t="shared" si="0"/>
        <v>31864</v>
      </c>
      <c r="L8" s="466">
        <v>39065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17197+628+2835+3920+135+44594+49690+805+40+44594+160</f>
        <v>164598</v>
      </c>
      <c r="D10" s="466">
        <f>366+2265+377+5+7406+25660+7426+5661</f>
        <v>49166</v>
      </c>
      <c r="E10" s="466">
        <v>6246</v>
      </c>
      <c r="F10" s="466">
        <v>57616</v>
      </c>
      <c r="G10" s="466"/>
      <c r="H10" s="466"/>
      <c r="I10" s="467"/>
      <c r="J10" s="467"/>
      <c r="K10" s="1671">
        <f t="shared" si="0"/>
        <v>277626</v>
      </c>
      <c r="L10" s="466">
        <v>298293</v>
      </c>
    </row>
    <row r="11" spans="1:14" x14ac:dyDescent="0.2">
      <c r="A11" s="1504" t="s">
        <v>1130</v>
      </c>
      <c r="B11" s="614" t="s">
        <v>161</v>
      </c>
      <c r="C11" s="467">
        <f>14135+73121+20765+4970+320</f>
        <v>113311</v>
      </c>
      <c r="D11" s="467">
        <f>3118+2265+18125</f>
        <v>23508</v>
      </c>
      <c r="E11" s="467"/>
      <c r="F11" s="467">
        <f>3648+14752</f>
        <v>18400</v>
      </c>
      <c r="G11" s="467"/>
      <c r="H11" s="467"/>
      <c r="I11" s="467"/>
      <c r="J11" s="467"/>
      <c r="K11" s="1671">
        <f t="shared" si="0"/>
        <v>155219</v>
      </c>
      <c r="L11" s="466">
        <v>178281</v>
      </c>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202705+1920</f>
        <v>204625</v>
      </c>
      <c r="D13" s="466">
        <f>7335+21353</f>
        <v>28688</v>
      </c>
      <c r="E13" s="466"/>
      <c r="F13" s="466">
        <f>23480+507+2912+353+13965+46+1348+115+110+200+2529+137+250</f>
        <v>45952</v>
      </c>
      <c r="G13" s="466"/>
      <c r="H13" s="466"/>
      <c r="I13" s="467"/>
      <c r="J13" s="467"/>
      <c r="K13" s="1671">
        <f t="shared" si="0"/>
        <v>279265</v>
      </c>
      <c r="L13" s="466">
        <v>288744</v>
      </c>
    </row>
    <row r="14" spans="1:14" x14ac:dyDescent="0.2">
      <c r="A14" s="1504" t="s">
        <v>963</v>
      </c>
      <c r="B14" s="614">
        <v>1500</v>
      </c>
      <c r="C14" s="466">
        <f>29469+7033+112943+33402</f>
        <v>182847</v>
      </c>
      <c r="D14" s="466">
        <f>1041+4805</f>
        <v>5846</v>
      </c>
      <c r="E14" s="466">
        <f>16082+166+4205</f>
        <v>20453</v>
      </c>
      <c r="F14" s="466">
        <f>138+116+909+1334+643+593</f>
        <v>3733</v>
      </c>
      <c r="G14" s="466"/>
      <c r="H14" s="466">
        <f>1162+6291</f>
        <v>7453</v>
      </c>
      <c r="I14" s="467"/>
      <c r="J14" s="467"/>
      <c r="K14" s="1671">
        <f t="shared" si="0"/>
        <v>220332</v>
      </c>
      <c r="L14" s="466">
        <v>242975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v>75</v>
      </c>
      <c r="D16" s="466">
        <v>3</v>
      </c>
      <c r="E16" s="466"/>
      <c r="F16" s="466"/>
      <c r="G16" s="466"/>
      <c r="H16" s="466">
        <v>1750</v>
      </c>
      <c r="I16" s="467"/>
      <c r="J16" s="467"/>
      <c r="K16" s="1671">
        <f t="shared" si="0"/>
        <v>1828</v>
      </c>
      <c r="L16" s="466">
        <v>4025</v>
      </c>
    </row>
    <row r="17" spans="1:12" x14ac:dyDescent="0.2">
      <c r="A17" s="1504" t="s">
        <v>724</v>
      </c>
      <c r="B17" s="614" t="s">
        <v>162</v>
      </c>
      <c r="C17" s="467">
        <f>78397+120</f>
        <v>78517</v>
      </c>
      <c r="D17" s="467">
        <f>2780+7926</f>
        <v>10706</v>
      </c>
      <c r="E17" s="467">
        <v>60</v>
      </c>
      <c r="F17" s="467">
        <v>3640</v>
      </c>
      <c r="G17" s="467"/>
      <c r="H17" s="467"/>
      <c r="I17" s="467"/>
      <c r="J17" s="467"/>
      <c r="K17" s="1671">
        <f t="shared" si="0"/>
        <v>92923</v>
      </c>
      <c r="L17" s="466">
        <v>95500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f>6145+3089</f>
        <v>9234</v>
      </c>
      <c r="D19" s="466">
        <v>220</v>
      </c>
      <c r="E19" s="466"/>
      <c r="F19" s="466"/>
      <c r="G19" s="466"/>
      <c r="H19" s="466"/>
      <c r="I19" s="467"/>
      <c r="J19" s="467"/>
      <c r="K19" s="1671">
        <f t="shared" si="0"/>
        <v>9454</v>
      </c>
      <c r="L19" s="466">
        <v>10075</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124016</v>
      </c>
      <c r="I22" s="616"/>
      <c r="J22" s="477"/>
      <c r="K22" s="1671">
        <f t="shared" si="0"/>
        <v>124016</v>
      </c>
      <c r="L22" s="471">
        <v>125000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4776348</v>
      </c>
      <c r="D33" s="1670">
        <f t="shared" ref="D33:L33" si="1">SUM(D5:D32)</f>
        <v>621112</v>
      </c>
      <c r="E33" s="1670">
        <f t="shared" si="1"/>
        <v>55916</v>
      </c>
      <c r="F33" s="1670">
        <f t="shared" si="1"/>
        <v>209348</v>
      </c>
      <c r="G33" s="1670">
        <f t="shared" si="1"/>
        <v>0</v>
      </c>
      <c r="H33" s="1670">
        <f t="shared" si="1"/>
        <v>134420</v>
      </c>
      <c r="I33" s="1670">
        <f t="shared" si="1"/>
        <v>0</v>
      </c>
      <c r="J33" s="1670">
        <f t="shared" si="1"/>
        <v>0</v>
      </c>
      <c r="K33" s="1670">
        <f t="shared" si="1"/>
        <v>5797144</v>
      </c>
      <c r="L33" s="1670">
        <f t="shared" si="1"/>
        <v>6020856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f>9305+-6+28605+18681</f>
        <v>56585</v>
      </c>
      <c r="D36" s="481">
        <f>1212+2774+908+791+1812</f>
        <v>7497</v>
      </c>
      <c r="E36" s="481"/>
      <c r="F36" s="481"/>
      <c r="G36" s="481"/>
      <c r="H36" s="481"/>
      <c r="I36" s="467"/>
      <c r="J36" s="467"/>
      <c r="K36" s="1671">
        <f t="shared" ref="K36:K41" si="2">SUM(C36:J36)</f>
        <v>64082</v>
      </c>
      <c r="L36" s="466">
        <v>73712</v>
      </c>
    </row>
    <row r="37" spans="1:14" x14ac:dyDescent="0.2">
      <c r="A37" s="1504" t="s">
        <v>1090</v>
      </c>
      <c r="B37" s="614">
        <v>2120</v>
      </c>
      <c r="C37" s="466">
        <f>33957+2349+22745+27695+66436+280+60115</f>
        <v>213577</v>
      </c>
      <c r="D37" s="466">
        <f>964+2944+3621+1173+3793+2825+5661+2547+5661</f>
        <v>29189</v>
      </c>
      <c r="E37" s="466"/>
      <c r="F37" s="466">
        <f>9256+56</f>
        <v>9312</v>
      </c>
      <c r="G37" s="466"/>
      <c r="H37" s="466"/>
      <c r="I37" s="467"/>
      <c r="J37" s="467"/>
      <c r="K37" s="1671">
        <f t="shared" si="2"/>
        <v>252078</v>
      </c>
      <c r="L37" s="466">
        <v>257850</v>
      </c>
    </row>
    <row r="38" spans="1:14" x14ac:dyDescent="0.2">
      <c r="A38" s="1504" t="s">
        <v>198</v>
      </c>
      <c r="B38" s="614">
        <v>2130</v>
      </c>
      <c r="C38" s="466">
        <f>21204+240+27665+20870+31504+31504</f>
        <v>132987</v>
      </c>
      <c r="D38" s="466">
        <f>1172+3227+2265+884+2434+1335+2831+1334+2831</f>
        <v>18313</v>
      </c>
      <c r="E38" s="466">
        <f>143+33+143</f>
        <v>319</v>
      </c>
      <c r="F38" s="466">
        <v>2930</v>
      </c>
      <c r="G38" s="466">
        <v>530</v>
      </c>
      <c r="H38" s="466"/>
      <c r="I38" s="467"/>
      <c r="J38" s="467"/>
      <c r="K38" s="1671">
        <f t="shared" si="2"/>
        <v>155079</v>
      </c>
      <c r="L38" s="466">
        <v>159285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f>4296+518</f>
        <v>4814</v>
      </c>
      <c r="D41" s="466"/>
      <c r="E41" s="466">
        <v>1891</v>
      </c>
      <c r="F41" s="466"/>
      <c r="G41" s="466"/>
      <c r="H41" s="466"/>
      <c r="I41" s="467"/>
      <c r="J41" s="467"/>
      <c r="K41" s="1671">
        <f t="shared" si="2"/>
        <v>6705</v>
      </c>
      <c r="L41" s="466">
        <v>7150</v>
      </c>
    </row>
    <row r="42" spans="1:14" ht="12.75" customHeight="1" thickBot="1" x14ac:dyDescent="0.25">
      <c r="A42" s="1668" t="s">
        <v>560</v>
      </c>
      <c r="B42" s="1669" t="s">
        <v>716</v>
      </c>
      <c r="C42" s="1670">
        <f>SUM(C36:C41)</f>
        <v>407963</v>
      </c>
      <c r="D42" s="1670">
        <f t="shared" ref="D42:L42" si="3">SUM(D36:D41)</f>
        <v>54999</v>
      </c>
      <c r="E42" s="1670">
        <f t="shared" si="3"/>
        <v>2210</v>
      </c>
      <c r="F42" s="1670">
        <f t="shared" si="3"/>
        <v>12242</v>
      </c>
      <c r="G42" s="1670">
        <f t="shared" si="3"/>
        <v>530</v>
      </c>
      <c r="H42" s="1670">
        <f t="shared" si="3"/>
        <v>0</v>
      </c>
      <c r="I42" s="1670">
        <f t="shared" si="3"/>
        <v>0</v>
      </c>
      <c r="J42" s="1670">
        <f t="shared" si="3"/>
        <v>0</v>
      </c>
      <c r="K42" s="1670">
        <f t="shared" si="3"/>
        <v>477944</v>
      </c>
      <c r="L42" s="1670">
        <f t="shared" si="3"/>
        <v>497997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30647+640+8520+600</f>
        <v>40407</v>
      </c>
      <c r="D44" s="481">
        <f>1103+901+2972+13</f>
        <v>4989</v>
      </c>
      <c r="E44" s="481">
        <f>791+259+275+4233+10315</f>
        <v>15873</v>
      </c>
      <c r="F44" s="481">
        <v>100</v>
      </c>
      <c r="G44" s="481"/>
      <c r="H44" s="481"/>
      <c r="I44" s="467"/>
      <c r="J44" s="467"/>
      <c r="K44" s="1672">
        <f>SUM(C44:J44)</f>
        <v>61369</v>
      </c>
      <c r="L44" s="481">
        <v>72100</v>
      </c>
    </row>
    <row r="45" spans="1:14" x14ac:dyDescent="0.2">
      <c r="A45" s="1504" t="s">
        <v>815</v>
      </c>
      <c r="B45" s="614">
        <v>2220</v>
      </c>
      <c r="C45" s="466">
        <f>12283+205+123123+21003+49456+19691+560+12364+19359+12+455</f>
        <v>258511</v>
      </c>
      <c r="D45" s="466">
        <f>16418+1132+2095+4529+14+524+7926</f>
        <v>32638</v>
      </c>
      <c r="E45" s="466">
        <f>55+6199+325+5280</f>
        <v>11859</v>
      </c>
      <c r="F45" s="466">
        <f>24+975+48584+73619+56775+105+300</f>
        <v>180382</v>
      </c>
      <c r="G45" s="466">
        <f>1600+34365</f>
        <v>35965</v>
      </c>
      <c r="H45" s="466">
        <v>125</v>
      </c>
      <c r="I45" s="467"/>
      <c r="J45" s="467"/>
      <c r="K45" s="1672">
        <f>SUM(C45:J45)</f>
        <v>519480</v>
      </c>
      <c r="L45" s="466">
        <v>589780</v>
      </c>
    </row>
    <row r="46" spans="1:14" x14ac:dyDescent="0.2">
      <c r="A46" s="1504" t="s">
        <v>816</v>
      </c>
      <c r="B46" s="614">
        <v>2230</v>
      </c>
      <c r="C46" s="466"/>
      <c r="D46" s="466"/>
      <c r="E46" s="466">
        <v>199</v>
      </c>
      <c r="F46" s="466"/>
      <c r="G46" s="466"/>
      <c r="H46" s="466"/>
      <c r="I46" s="467"/>
      <c r="J46" s="467"/>
      <c r="K46" s="1672">
        <f>SUM(C46:J46)</f>
        <v>199</v>
      </c>
      <c r="L46" s="466">
        <v>541</v>
      </c>
    </row>
    <row r="47" spans="1:14" ht="12.75" customHeight="1" thickBot="1" x14ac:dyDescent="0.25">
      <c r="A47" s="1668" t="s">
        <v>561</v>
      </c>
      <c r="B47" s="1669" t="s">
        <v>32</v>
      </c>
      <c r="C47" s="1670">
        <f>SUM(C44:C46)</f>
        <v>298918</v>
      </c>
      <c r="D47" s="1670">
        <f t="shared" ref="D47:K47" si="4">SUM(D44:D46)</f>
        <v>37627</v>
      </c>
      <c r="E47" s="1670">
        <f t="shared" si="4"/>
        <v>27931</v>
      </c>
      <c r="F47" s="1670">
        <f t="shared" si="4"/>
        <v>180482</v>
      </c>
      <c r="G47" s="1670">
        <f t="shared" si="4"/>
        <v>35965</v>
      </c>
      <c r="H47" s="1670">
        <f t="shared" si="4"/>
        <v>125</v>
      </c>
      <c r="I47" s="1670">
        <f t="shared" si="4"/>
        <v>0</v>
      </c>
      <c r="J47" s="1670">
        <f t="shared" si="4"/>
        <v>0</v>
      </c>
      <c r="K47" s="1670">
        <f t="shared" si="4"/>
        <v>581048</v>
      </c>
      <c r="L47" s="1670">
        <f>SUM(L44:L46)</f>
        <v>662421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782</v>
      </c>
      <c r="D49" s="481">
        <v>750</v>
      </c>
      <c r="E49" s="481">
        <f>8425+17284+6564+5011+1814+5741+3690</f>
        <v>48529</v>
      </c>
      <c r="F49" s="481">
        <f>973+3674</f>
        <v>4647</v>
      </c>
      <c r="G49" s="481"/>
      <c r="H49" s="481">
        <v>13000</v>
      </c>
      <c r="I49" s="467"/>
      <c r="J49" s="467"/>
      <c r="K49" s="1672">
        <f>SUM(C49:J49)</f>
        <v>67708</v>
      </c>
      <c r="L49" s="481">
        <v>120400</v>
      </c>
    </row>
    <row r="50" spans="1:14" x14ac:dyDescent="0.2">
      <c r="A50" s="1504" t="s">
        <v>818</v>
      </c>
      <c r="B50" s="614">
        <v>2320</v>
      </c>
      <c r="C50" s="466">
        <f>110742+35904+1377</f>
        <v>148023</v>
      </c>
      <c r="D50" s="466">
        <f>8836+24</f>
        <v>8860</v>
      </c>
      <c r="E50" s="466">
        <f>3121+1344</f>
        <v>4465</v>
      </c>
      <c r="F50" s="466">
        <v>4159</v>
      </c>
      <c r="G50" s="466"/>
      <c r="H50" s="466">
        <v>1610</v>
      </c>
      <c r="I50" s="467"/>
      <c r="J50" s="467"/>
      <c r="K50" s="1672">
        <f>SUM(C50:J50)</f>
        <v>167117</v>
      </c>
      <c r="L50" s="466">
        <v>177225</v>
      </c>
    </row>
    <row r="51" spans="1:14" x14ac:dyDescent="0.2">
      <c r="A51" s="1504" t="s">
        <v>42</v>
      </c>
      <c r="B51" s="614">
        <v>2330</v>
      </c>
      <c r="C51" s="466">
        <f>214+7858</f>
        <v>8072</v>
      </c>
      <c r="D51" s="466">
        <v>1362</v>
      </c>
      <c r="E51" s="466">
        <v>629</v>
      </c>
      <c r="F51" s="466"/>
      <c r="G51" s="466"/>
      <c r="H51" s="466"/>
      <c r="I51" s="467"/>
      <c r="J51" s="467"/>
      <c r="K51" s="1672">
        <f>SUM(C51:J51)</f>
        <v>10063</v>
      </c>
      <c r="L51" s="466">
        <v>10175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156877</v>
      </c>
      <c r="D53" s="1670">
        <f t="shared" ref="D53:L53" si="5">SUM(D49:D52)</f>
        <v>10972</v>
      </c>
      <c r="E53" s="1670">
        <f t="shared" si="5"/>
        <v>53623</v>
      </c>
      <c r="F53" s="1670">
        <f t="shared" si="5"/>
        <v>8806</v>
      </c>
      <c r="G53" s="1670">
        <f t="shared" si="5"/>
        <v>0</v>
      </c>
      <c r="H53" s="1670">
        <f t="shared" si="5"/>
        <v>14610</v>
      </c>
      <c r="I53" s="1670">
        <f t="shared" si="5"/>
        <v>0</v>
      </c>
      <c r="J53" s="1670">
        <f t="shared" si="5"/>
        <v>0</v>
      </c>
      <c r="K53" s="1670">
        <f t="shared" si="5"/>
        <v>244888</v>
      </c>
      <c r="L53" s="1670">
        <f t="shared" si="5"/>
        <v>307800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50066+15693+146+306+79015+6786+45289+602+38382+6786+29673+981+38382+6786+61212+456+80980+6786+62616+156</f>
        <v>531099</v>
      </c>
      <c r="D55" s="481">
        <f>1788+8358+2822+992+18615+708+1371+992+11350+708+1370+992+5940+708+2892+993+24270+708</f>
        <v>85577</v>
      </c>
      <c r="E55" s="481">
        <f>1537+262+257+132</f>
        <v>2188</v>
      </c>
      <c r="F55" s="481">
        <v>395</v>
      </c>
      <c r="G55" s="481"/>
      <c r="H55" s="481">
        <v>395</v>
      </c>
      <c r="I55" s="467"/>
      <c r="J55" s="467"/>
      <c r="K55" s="1672">
        <f>SUM(C55:J55)</f>
        <v>619654</v>
      </c>
      <c r="L55" s="481">
        <v>654952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531099</v>
      </c>
      <c r="D57" s="1674">
        <f t="shared" ref="D57:K57" si="6">SUM(D55:D56)</f>
        <v>85577</v>
      </c>
      <c r="E57" s="1674">
        <f t="shared" si="6"/>
        <v>2188</v>
      </c>
      <c r="F57" s="1674">
        <f t="shared" si="6"/>
        <v>395</v>
      </c>
      <c r="G57" s="1674">
        <f t="shared" si="6"/>
        <v>0</v>
      </c>
      <c r="H57" s="1674">
        <f t="shared" si="6"/>
        <v>395</v>
      </c>
      <c r="I57" s="1674">
        <f t="shared" si="6"/>
        <v>0</v>
      </c>
      <c r="J57" s="1674">
        <f t="shared" si="6"/>
        <v>0</v>
      </c>
      <c r="K57" s="1674">
        <f t="shared" si="6"/>
        <v>619654</v>
      </c>
      <c r="L57" s="1670">
        <f>SUM(L55:L56)</f>
        <v>654952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f>76500+35372+26</f>
        <v>111898</v>
      </c>
      <c r="D60" s="466">
        <v>19206</v>
      </c>
      <c r="E60" s="466">
        <f>28681+11459+1028</f>
        <v>41168</v>
      </c>
      <c r="F60" s="466">
        <v>21</v>
      </c>
      <c r="G60" s="466"/>
      <c r="H60" s="466">
        <v>845</v>
      </c>
      <c r="I60" s="467"/>
      <c r="J60" s="467"/>
      <c r="K60" s="1672">
        <f t="shared" si="7"/>
        <v>173138</v>
      </c>
      <c r="L60" s="466">
        <v>181200</v>
      </c>
      <c r="M60" s="609"/>
      <c r="N60" s="609"/>
    </row>
    <row r="61" spans="1:14" s="343" customFormat="1" x14ac:dyDescent="0.2">
      <c r="A61" s="1504" t="s">
        <v>197</v>
      </c>
      <c r="B61" s="614">
        <v>2540</v>
      </c>
      <c r="C61" s="466"/>
      <c r="D61" s="466"/>
      <c r="E61" s="466"/>
      <c r="F61" s="466"/>
      <c r="G61" s="466">
        <v>6948</v>
      </c>
      <c r="H61" s="466"/>
      <c r="I61" s="467"/>
      <c r="J61" s="467"/>
      <c r="K61" s="1672">
        <f t="shared" si="7"/>
        <v>6948</v>
      </c>
      <c r="L61" s="466">
        <v>8234</v>
      </c>
      <c r="M61" s="609"/>
      <c r="N61" s="609"/>
    </row>
    <row r="62" spans="1:14" s="343" customFormat="1" x14ac:dyDescent="0.2">
      <c r="A62" s="1504" t="s">
        <v>953</v>
      </c>
      <c r="B62" s="614">
        <v>2550</v>
      </c>
      <c r="C62" s="466"/>
      <c r="D62" s="466"/>
      <c r="E62" s="466">
        <v>676</v>
      </c>
      <c r="F62" s="466"/>
      <c r="G62" s="466"/>
      <c r="H62" s="466"/>
      <c r="I62" s="467"/>
      <c r="J62" s="467"/>
      <c r="K62" s="1672">
        <f t="shared" si="7"/>
        <v>676</v>
      </c>
      <c r="L62" s="466">
        <v>677</v>
      </c>
      <c r="M62" s="609"/>
      <c r="N62" s="609"/>
    </row>
    <row r="63" spans="1:14" s="609" customFormat="1" x14ac:dyDescent="0.2">
      <c r="A63" s="1504" t="s">
        <v>100</v>
      </c>
      <c r="B63" s="614">
        <v>2560</v>
      </c>
      <c r="C63" s="466">
        <f>175791+3486+590</f>
        <v>179867</v>
      </c>
      <c r="D63" s="466">
        <v>33977</v>
      </c>
      <c r="E63" s="466">
        <f>717+4770+587</f>
        <v>6074</v>
      </c>
      <c r="F63" s="466">
        <f>253116+8497+5340</f>
        <v>266953</v>
      </c>
      <c r="G63" s="466">
        <f>1642+790</f>
        <v>2432</v>
      </c>
      <c r="H63" s="466"/>
      <c r="I63" s="467"/>
      <c r="J63" s="467"/>
      <c r="K63" s="1672">
        <f t="shared" si="7"/>
        <v>489303</v>
      </c>
      <c r="L63" s="466">
        <v>556350</v>
      </c>
    </row>
    <row r="64" spans="1:14" s="609" customFormat="1" x14ac:dyDescent="0.2">
      <c r="A64" s="1509" t="s">
        <v>101</v>
      </c>
      <c r="B64" s="630">
        <v>2570</v>
      </c>
      <c r="C64" s="481"/>
      <c r="D64" s="481"/>
      <c r="E64" s="481">
        <v>14718</v>
      </c>
      <c r="F64" s="481">
        <v>883</v>
      </c>
      <c r="G64" s="481">
        <v>47784</v>
      </c>
      <c r="H64" s="481"/>
      <c r="I64" s="467"/>
      <c r="J64" s="467"/>
      <c r="K64" s="1672">
        <f t="shared" si="7"/>
        <v>63385</v>
      </c>
      <c r="L64" s="481">
        <v>15625</v>
      </c>
    </row>
    <row r="65" spans="1:14" s="343" customFormat="1" ht="12.75" customHeight="1" thickBot="1" x14ac:dyDescent="0.25">
      <c r="A65" s="1668" t="s">
        <v>719</v>
      </c>
      <c r="B65" s="1669" t="s">
        <v>35</v>
      </c>
      <c r="C65" s="1670">
        <f>SUM(C59:C64)</f>
        <v>291765</v>
      </c>
      <c r="D65" s="1670">
        <f t="shared" ref="D65:L65" si="8">SUM(D59:D64)</f>
        <v>53183</v>
      </c>
      <c r="E65" s="1670">
        <f t="shared" si="8"/>
        <v>62636</v>
      </c>
      <c r="F65" s="1670">
        <f t="shared" si="8"/>
        <v>267857</v>
      </c>
      <c r="G65" s="1670">
        <f t="shared" si="8"/>
        <v>57164</v>
      </c>
      <c r="H65" s="1670">
        <f t="shared" si="8"/>
        <v>845</v>
      </c>
      <c r="I65" s="1670">
        <f t="shared" si="8"/>
        <v>0</v>
      </c>
      <c r="J65" s="1670">
        <f t="shared" si="8"/>
        <v>0</v>
      </c>
      <c r="K65" s="1670">
        <f t="shared" si="8"/>
        <v>733450</v>
      </c>
      <c r="L65" s="1670">
        <f t="shared" si="8"/>
        <v>762086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1686622</v>
      </c>
      <c r="D74" s="1677">
        <f t="shared" ref="D74:K74" si="10">SUM(D42,D47,D53,D57,D65,D72,D73)</f>
        <v>242358</v>
      </c>
      <c r="E74" s="1677">
        <f t="shared" si="10"/>
        <v>148588</v>
      </c>
      <c r="F74" s="1677">
        <f t="shared" si="10"/>
        <v>469782</v>
      </c>
      <c r="G74" s="1677">
        <f t="shared" si="10"/>
        <v>93659</v>
      </c>
      <c r="H74" s="1677">
        <f t="shared" si="10"/>
        <v>15975</v>
      </c>
      <c r="I74" s="1677">
        <f t="shared" si="10"/>
        <v>0</v>
      </c>
      <c r="J74" s="1677">
        <f t="shared" si="10"/>
        <v>0</v>
      </c>
      <c r="K74" s="1677">
        <f t="shared" si="10"/>
        <v>2656984</v>
      </c>
      <c r="L74" s="1677">
        <f>SUM(L42,L47,L53,L57,L65,L72,L73)</f>
        <v>2885256</v>
      </c>
    </row>
    <row r="75" spans="1:14" s="259" customFormat="1" ht="15.75" customHeight="1" thickTop="1" thickBot="1" x14ac:dyDescent="0.25">
      <c r="A75" s="1610" t="s">
        <v>47</v>
      </c>
      <c r="B75" s="1611" t="s">
        <v>575</v>
      </c>
      <c r="C75" s="573">
        <f>1428+716</f>
        <v>2144</v>
      </c>
      <c r="D75" s="573">
        <f>45+11</f>
        <v>56</v>
      </c>
      <c r="E75" s="573">
        <v>554</v>
      </c>
      <c r="F75" s="573">
        <f>215+1055</f>
        <v>1270</v>
      </c>
      <c r="G75" s="573"/>
      <c r="H75" s="573"/>
      <c r="I75" s="531"/>
      <c r="J75" s="531"/>
      <c r="K75" s="1670">
        <f>SUM(C75:J75)</f>
        <v>4024</v>
      </c>
      <c r="L75" s="576">
        <v>3861</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1529303</v>
      </c>
      <c r="F79" s="616"/>
      <c r="G79" s="616"/>
      <c r="H79" s="466"/>
      <c r="I79" s="477"/>
      <c r="J79" s="477"/>
      <c r="K79" s="1671">
        <f t="shared" si="11"/>
        <v>1529303</v>
      </c>
      <c r="L79" s="466">
        <v>1650000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1529303</v>
      </c>
      <c r="F84" s="616"/>
      <c r="G84" s="616"/>
      <c r="H84" s="1670">
        <f>SUM(H78:H83)</f>
        <v>0</v>
      </c>
      <c r="I84" s="477"/>
      <c r="J84" s="477"/>
      <c r="K84" s="1670">
        <f>SUM(K78:K83)</f>
        <v>1529303</v>
      </c>
      <c r="L84" s="1670">
        <f>SUM(L78:L83)</f>
        <v>1650000</v>
      </c>
    </row>
    <row r="85" spans="1:12" ht="12.75" customHeight="1" thickTop="1" thickBot="1" x14ac:dyDescent="0.25">
      <c r="A85" s="1511" t="s">
        <v>255</v>
      </c>
      <c r="B85" s="635">
        <v>4210</v>
      </c>
      <c r="C85" s="616"/>
      <c r="D85" s="616"/>
      <c r="E85" s="636"/>
      <c r="F85" s="616"/>
      <c r="G85" s="616"/>
      <c r="H85" s="535"/>
      <c r="I85" s="477"/>
      <c r="J85" s="477"/>
      <c r="K85" s="1677">
        <f>H85</f>
        <v>0</v>
      </c>
      <c r="L85" s="530">
        <v>10000</v>
      </c>
    </row>
    <row r="86" spans="1:12" ht="12.75" customHeight="1" thickTop="1" thickBot="1" x14ac:dyDescent="0.25">
      <c r="A86" s="1512" t="s">
        <v>699</v>
      </c>
      <c r="B86" s="637">
        <v>4220</v>
      </c>
      <c r="C86" s="616"/>
      <c r="D86" s="616"/>
      <c r="E86" s="638"/>
      <c r="F86" s="616"/>
      <c r="G86" s="616"/>
      <c r="H86" s="467">
        <v>489</v>
      </c>
      <c r="I86" s="477"/>
      <c r="J86" s="477"/>
      <c r="K86" s="1677">
        <f t="shared" ref="K86:K98" si="12">H86</f>
        <v>489</v>
      </c>
      <c r="L86" s="530">
        <v>10000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489</v>
      </c>
      <c r="I92" s="477"/>
      <c r="J92" s="477"/>
      <c r="K92" s="1677">
        <f t="shared" si="12"/>
        <v>489</v>
      </c>
      <c r="L92" s="1670">
        <f>SUM(L85:L91)</f>
        <v>20000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1529303</v>
      </c>
      <c r="F102" s="616"/>
      <c r="G102" s="616"/>
      <c r="H102" s="1677">
        <f>SUM(H84,H92,H100,H101)</f>
        <v>489</v>
      </c>
      <c r="I102" s="477"/>
      <c r="J102" s="477"/>
      <c r="K102" s="1677">
        <f>SUM(K84,K92,K100,K101)</f>
        <v>1529792</v>
      </c>
      <c r="L102" s="1677">
        <f>SUM(L84,L92,L100,L101)</f>
        <v>1670000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6465114</v>
      </c>
      <c r="D114" s="1670">
        <f t="shared" ref="D114:K114" si="13">SUM(D33,D74,D75,D102,D112,D113)</f>
        <v>863526</v>
      </c>
      <c r="E114" s="1670">
        <f t="shared" si="13"/>
        <v>1734361</v>
      </c>
      <c r="F114" s="1670">
        <f t="shared" si="13"/>
        <v>680400</v>
      </c>
      <c r="G114" s="1670">
        <f t="shared" si="13"/>
        <v>93659</v>
      </c>
      <c r="H114" s="1670">
        <f>SUM(H33,H74,H75,H102,H112,H113)</f>
        <v>150884</v>
      </c>
      <c r="I114" s="1670">
        <f t="shared" si="13"/>
        <v>0</v>
      </c>
      <c r="J114" s="1670">
        <f t="shared" si="13"/>
        <v>0</v>
      </c>
      <c r="K114" s="1670">
        <f t="shared" si="13"/>
        <v>9987944</v>
      </c>
      <c r="L114" s="1670">
        <f>SUM(L33,L74,L75,L102,L112,L113)</f>
        <v>10579973</v>
      </c>
    </row>
    <row r="115" spans="1:14" ht="13.5" thickTop="1" x14ac:dyDescent="0.2">
      <c r="A115" s="2153" t="s">
        <v>996</v>
      </c>
      <c r="B115" s="2154"/>
      <c r="C115" s="618"/>
      <c r="D115" s="618"/>
      <c r="E115" s="618"/>
      <c r="F115" s="618"/>
      <c r="G115" s="618"/>
      <c r="H115" s="618"/>
      <c r="I115" s="618"/>
      <c r="J115" s="618"/>
      <c r="K115" s="1684">
        <f>'Revenues 9-14'!C268-'Expenditures 15-22'!K114</f>
        <v>367483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341408+11668+18165-2</f>
        <v>371239</v>
      </c>
      <c r="D124" s="466">
        <v>58912</v>
      </c>
      <c r="E124" s="466">
        <f>-505+19291+69400+66872+4193+16283+4948+5224+26441+1073+7820+13217+8469+177+659+1665+347</f>
        <v>245574</v>
      </c>
      <c r="F124" s="466">
        <f>48022+33361+6132+14469+35095+4935+4747+29625+84299+102092+7857</f>
        <v>370634</v>
      </c>
      <c r="G124" s="466">
        <f>3114+2300</f>
        <v>5414</v>
      </c>
      <c r="H124" s="466"/>
      <c r="I124" s="467"/>
      <c r="J124" s="467"/>
      <c r="K124" s="1670">
        <f>SUM(C124:J124)</f>
        <v>1051773</v>
      </c>
      <c r="L124" s="466">
        <v>1102100</v>
      </c>
    </row>
    <row r="125" spans="1:14" ht="14.25" thickTop="1" thickBot="1" x14ac:dyDescent="0.25">
      <c r="A125" s="1504" t="s">
        <v>953</v>
      </c>
      <c r="B125" s="614">
        <v>2550</v>
      </c>
      <c r="C125" s="466"/>
      <c r="D125" s="466"/>
      <c r="E125" s="466">
        <v>350</v>
      </c>
      <c r="F125" s="466">
        <v>4811</v>
      </c>
      <c r="G125" s="466"/>
      <c r="H125" s="466"/>
      <c r="I125" s="467"/>
      <c r="J125" s="467"/>
      <c r="K125" s="1670">
        <f>SUM(C125:J125)</f>
        <v>5161</v>
      </c>
      <c r="L125" s="466">
        <v>7000</v>
      </c>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371239</v>
      </c>
      <c r="D127" s="1670">
        <f t="shared" ref="D127:L127" si="14">SUM(D122:D126)</f>
        <v>58912</v>
      </c>
      <c r="E127" s="1670">
        <f t="shared" si="14"/>
        <v>245924</v>
      </c>
      <c r="F127" s="1670">
        <f t="shared" si="14"/>
        <v>375445</v>
      </c>
      <c r="G127" s="1670">
        <f t="shared" si="14"/>
        <v>5414</v>
      </c>
      <c r="H127" s="1670">
        <f t="shared" si="14"/>
        <v>0</v>
      </c>
      <c r="I127" s="1670">
        <f t="shared" si="14"/>
        <v>0</v>
      </c>
      <c r="J127" s="1670">
        <f t="shared" si="14"/>
        <v>0</v>
      </c>
      <c r="K127" s="1670">
        <f t="shared" si="14"/>
        <v>1056934</v>
      </c>
      <c r="L127" s="1670">
        <f t="shared" si="14"/>
        <v>1109100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371239</v>
      </c>
      <c r="D129" s="1677">
        <f t="shared" ref="D129:L129" si="15">SUM(D120,D127,D128)</f>
        <v>58912</v>
      </c>
      <c r="E129" s="1677">
        <f t="shared" si="15"/>
        <v>245924</v>
      </c>
      <c r="F129" s="1677">
        <f t="shared" si="15"/>
        <v>375445</v>
      </c>
      <c r="G129" s="1677">
        <f t="shared" si="15"/>
        <v>5414</v>
      </c>
      <c r="H129" s="1677">
        <f t="shared" si="15"/>
        <v>0</v>
      </c>
      <c r="I129" s="1677">
        <f t="shared" si="15"/>
        <v>0</v>
      </c>
      <c r="J129" s="1677">
        <f t="shared" si="15"/>
        <v>0</v>
      </c>
      <c r="K129" s="1677">
        <f t="shared" si="15"/>
        <v>1056934</v>
      </c>
      <c r="L129" s="1677">
        <f t="shared" si="15"/>
        <v>1109100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371239</v>
      </c>
      <c r="D151" s="1670">
        <f t="shared" ref="D151:K151" si="16">SUM(D129,D130,D139,D149,D150)</f>
        <v>58912</v>
      </c>
      <c r="E151" s="1670">
        <f t="shared" si="16"/>
        <v>245924</v>
      </c>
      <c r="F151" s="1670">
        <f t="shared" si="16"/>
        <v>375445</v>
      </c>
      <c r="G151" s="1670">
        <f t="shared" si="16"/>
        <v>5414</v>
      </c>
      <c r="H151" s="1670">
        <f t="shared" si="16"/>
        <v>0</v>
      </c>
      <c r="I151" s="1670">
        <f t="shared" si="16"/>
        <v>0</v>
      </c>
      <c r="J151" s="1670">
        <f t="shared" si="16"/>
        <v>0</v>
      </c>
      <c r="K151" s="1670">
        <f t="shared" si="16"/>
        <v>1056934</v>
      </c>
      <c r="L151" s="1670">
        <f>SUM(L129,L130,L139,L149,L150)</f>
        <v>1109100</v>
      </c>
    </row>
    <row r="152" spans="1:14" ht="12.75" customHeight="1" thickTop="1" x14ac:dyDescent="0.2">
      <c r="A152" s="2173" t="s">
        <v>1178</v>
      </c>
      <c r="B152" s="2174"/>
      <c r="C152" s="618"/>
      <c r="D152" s="618"/>
      <c r="E152" s="618"/>
      <c r="F152" s="618"/>
      <c r="G152" s="618"/>
      <c r="H152" s="618"/>
      <c r="I152" s="618"/>
      <c r="J152" s="616"/>
      <c r="K152" s="1684">
        <f>'Revenues 9-14'!D268-'Expenditures 15-22'!K151</f>
        <v>-53501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25249+1845</f>
        <v>27094</v>
      </c>
      <c r="I169" s="616"/>
      <c r="J169" s="616"/>
      <c r="K169" s="1671">
        <f>SUM(C169:H169)</f>
        <v>27094</v>
      </c>
      <c r="L169" s="656">
        <v>25249</v>
      </c>
    </row>
    <row r="170" spans="1:14" ht="33.75" customHeight="1" x14ac:dyDescent="0.2">
      <c r="A170" s="669" t="s">
        <v>1670</v>
      </c>
      <c r="B170" s="671" t="s">
        <v>31</v>
      </c>
      <c r="C170" s="616"/>
      <c r="D170" s="616"/>
      <c r="E170" s="616"/>
      <c r="F170" s="616"/>
      <c r="G170" s="616"/>
      <c r="H170" s="569">
        <f>7408-1845+972000</f>
        <v>977563</v>
      </c>
      <c r="I170" s="616"/>
      <c r="J170" s="616"/>
      <c r="K170" s="1671">
        <f>SUM(C170:J170)</f>
        <v>977563</v>
      </c>
      <c r="L170" s="569">
        <v>981000</v>
      </c>
    </row>
    <row r="171" spans="1:14" ht="15.75" customHeight="1" x14ac:dyDescent="0.2">
      <c r="A171" s="621" t="s">
        <v>766</v>
      </c>
      <c r="B171" s="672" t="s">
        <v>84</v>
      </c>
      <c r="C171" s="616"/>
      <c r="D171" s="616"/>
      <c r="E171" s="466"/>
      <c r="F171" s="616"/>
      <c r="G171" s="616"/>
      <c r="H171" s="569"/>
      <c r="I171" s="477"/>
      <c r="J171" s="616"/>
      <c r="K171" s="1671">
        <f>SUM(C171:J171)</f>
        <v>0</v>
      </c>
      <c r="L171" s="569">
        <v>700</v>
      </c>
    </row>
    <row r="172" spans="1:14" ht="12.75" customHeight="1" thickBot="1" x14ac:dyDescent="0.25">
      <c r="A172" s="1668" t="s">
        <v>638</v>
      </c>
      <c r="B172" s="1669" t="s">
        <v>492</v>
      </c>
      <c r="C172" s="616"/>
      <c r="D172" s="616"/>
      <c r="E172" s="1677">
        <f>SUM(E168,E169,E170,E171)</f>
        <v>0</v>
      </c>
      <c r="F172" s="616"/>
      <c r="G172" s="616"/>
      <c r="H172" s="1677">
        <f>SUM(H168,H169,H170,H171)</f>
        <v>1004657</v>
      </c>
      <c r="I172" s="638"/>
      <c r="J172" s="616"/>
      <c r="K172" s="1677">
        <f>SUM(K168,K169,K170,K171)</f>
        <v>1004657</v>
      </c>
      <c r="L172" s="1677">
        <f>SUM(L168,L169,L170,L171)</f>
        <v>1006949</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1004657</v>
      </c>
      <c r="I174" s="638"/>
      <c r="J174" s="616"/>
      <c r="K174" s="1677">
        <f>SUM(K160,K172,K173)</f>
        <v>1004657</v>
      </c>
      <c r="L174" s="1677">
        <f>SUM(L160,L172,L173)</f>
        <v>1006949</v>
      </c>
    </row>
    <row r="175" spans="1:14" ht="13.5" thickTop="1" x14ac:dyDescent="0.2">
      <c r="A175" s="2153" t="s">
        <v>996</v>
      </c>
      <c r="B175" s="2154"/>
      <c r="C175" s="616"/>
      <c r="D175" s="616"/>
      <c r="E175" s="616"/>
      <c r="F175" s="616"/>
      <c r="G175" s="616"/>
      <c r="H175" s="618"/>
      <c r="I175" s="616"/>
      <c r="J175" s="616"/>
      <c r="K175" s="1684">
        <f>'Revenues 9-14'!E268-'Expenditures 15-22'!K174</f>
        <v>-2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2940+239498+67055+32552+6574+47543+36876-1</f>
        <v>433037</v>
      </c>
      <c r="D182" s="466">
        <f>6794+6794+1759</f>
        <v>15347</v>
      </c>
      <c r="E182" s="466">
        <f>12262+2007+4169+467+5320</f>
        <v>24225</v>
      </c>
      <c r="F182" s="466">
        <f>2239+67724+38535+3991+6450+4712</f>
        <v>123651</v>
      </c>
      <c r="G182" s="466">
        <v>157472</v>
      </c>
      <c r="H182" s="466"/>
      <c r="I182" s="467"/>
      <c r="J182" s="467"/>
      <c r="K182" s="1671">
        <f>SUM(C182:J182)</f>
        <v>753732</v>
      </c>
      <c r="L182" s="466">
        <v>801438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433037</v>
      </c>
      <c r="D184" s="1677">
        <f t="shared" ref="D184:J184" si="17">SUM(D180,D182,D183)</f>
        <v>15347</v>
      </c>
      <c r="E184" s="1677">
        <f t="shared" si="17"/>
        <v>24225</v>
      </c>
      <c r="F184" s="1677">
        <f t="shared" si="17"/>
        <v>123651</v>
      </c>
      <c r="G184" s="1677">
        <f t="shared" si="17"/>
        <v>157472</v>
      </c>
      <c r="H184" s="1677">
        <f t="shared" si="17"/>
        <v>0</v>
      </c>
      <c r="I184" s="1677">
        <f t="shared" si="17"/>
        <v>0</v>
      </c>
      <c r="J184" s="1677">
        <f t="shared" si="17"/>
        <v>0</v>
      </c>
      <c r="K184" s="1677">
        <f>SUM(K180,K182,K183)</f>
        <v>753732</v>
      </c>
      <c r="L184" s="1677">
        <f>SUM(L180, L182:L183)</f>
        <v>801438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433037</v>
      </c>
      <c r="D210" s="1670">
        <f>SUM(D184,D185)</f>
        <v>15347</v>
      </c>
      <c r="E210" s="1670">
        <f>SUM(E184,E185,E196)</f>
        <v>24225</v>
      </c>
      <c r="F210" s="1670">
        <f>SUM(F184,F185)</f>
        <v>123651</v>
      </c>
      <c r="G210" s="1670">
        <f>SUM(G184,G185)</f>
        <v>157472</v>
      </c>
      <c r="H210" s="1670">
        <f>SUM(H184,H185,H196,H208,H209)</f>
        <v>0</v>
      </c>
      <c r="I210" s="1670">
        <f>SUM(I184,I185)</f>
        <v>0</v>
      </c>
      <c r="J210" s="1670">
        <f>SUM(J184,J185)</f>
        <v>0</v>
      </c>
      <c r="K210" s="1671">
        <f>SUM(K184,K185,K196,K208,K209)</f>
        <v>753732</v>
      </c>
      <c r="L210" s="1670">
        <f>SUM(L184,L185,L196,L208,L209)</f>
        <v>801438</v>
      </c>
    </row>
    <row r="211" spans="1:14" ht="13.5" thickTop="1" x14ac:dyDescent="0.2">
      <c r="A211" s="2153" t="s">
        <v>996</v>
      </c>
      <c r="B211" s="2154"/>
      <c r="C211" s="618"/>
      <c r="D211" s="618"/>
      <c r="E211" s="618"/>
      <c r="F211" s="618"/>
      <c r="G211" s="618"/>
      <c r="H211" s="618"/>
      <c r="I211" s="616"/>
      <c r="J211" s="616"/>
      <c r="K211" s="1684">
        <f>'Revenues 9-14'!F268-'Expenditures 15-22'!K210</f>
        <v>-48908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9-3+86+4275+2614+18345+263+1103+698+5030+4+14630+2328+1422+17309+8+1</f>
        <v>68122</v>
      </c>
      <c r="E215" s="616"/>
      <c r="F215" s="616"/>
      <c r="G215" s="616"/>
      <c r="H215" s="616"/>
      <c r="I215" s="616"/>
      <c r="J215" s="616"/>
      <c r="K215" s="1671">
        <f>D215</f>
        <v>68122</v>
      </c>
      <c r="L215" s="466">
        <v>49644</v>
      </c>
    </row>
    <row r="216" spans="1:14" x14ac:dyDescent="0.2">
      <c r="A216" s="1504" t="s">
        <v>163</v>
      </c>
      <c r="B216" s="614" t="s">
        <v>967</v>
      </c>
      <c r="C216" s="616"/>
      <c r="D216" s="467"/>
      <c r="E216" s="616"/>
      <c r="F216" s="616"/>
      <c r="G216" s="616"/>
      <c r="H216" s="616"/>
      <c r="I216" s="616"/>
      <c r="J216" s="616"/>
      <c r="K216" s="1671">
        <f t="shared" ref="K216:K228" si="19">D216</f>
        <v>0</v>
      </c>
      <c r="L216" s="466">
        <v>21729</v>
      </c>
    </row>
    <row r="217" spans="1:14" x14ac:dyDescent="0.2">
      <c r="A217" s="1504" t="s">
        <v>164</v>
      </c>
      <c r="B217" s="614">
        <v>1200</v>
      </c>
      <c r="C217" s="616"/>
      <c r="D217" s="466">
        <f>130+30+161+39+247+61+122+38+241+270</f>
        <v>1339</v>
      </c>
      <c r="E217" s="616"/>
      <c r="F217" s="616"/>
      <c r="G217" s="616"/>
      <c r="H217" s="616"/>
      <c r="I217" s="616"/>
      <c r="J217" s="616"/>
      <c r="K217" s="1671">
        <f t="shared" si="19"/>
        <v>1339</v>
      </c>
      <c r="L217" s="466">
        <v>2055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71+212+230+102+2+4845+2980+1330+553</f>
        <v>10325</v>
      </c>
      <c r="E219" s="616"/>
      <c r="F219" s="616"/>
      <c r="G219" s="616"/>
      <c r="H219" s="616"/>
      <c r="I219" s="616"/>
      <c r="J219" s="616"/>
      <c r="K219" s="1671">
        <f t="shared" si="19"/>
        <v>10325</v>
      </c>
      <c r="L219" s="466">
        <v>11614</v>
      </c>
    </row>
    <row r="220" spans="1:14" x14ac:dyDescent="0.2">
      <c r="A220" s="1504" t="s">
        <v>280</v>
      </c>
      <c r="B220" s="614" t="s">
        <v>161</v>
      </c>
      <c r="C220" s="616"/>
      <c r="D220" s="467">
        <f>1275+1138+199+1307</f>
        <v>3919</v>
      </c>
      <c r="E220" s="616"/>
      <c r="F220" s="616"/>
      <c r="G220" s="616"/>
      <c r="H220" s="616"/>
      <c r="I220" s="616"/>
      <c r="J220" s="616"/>
      <c r="K220" s="1671">
        <f t="shared" si="19"/>
        <v>3919</v>
      </c>
      <c r="L220" s="466">
        <v>5100</v>
      </c>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2888</v>
      </c>
      <c r="E222" s="616"/>
      <c r="F222" s="616"/>
      <c r="G222" s="616"/>
      <c r="H222" s="616"/>
      <c r="I222" s="616"/>
      <c r="J222" s="616"/>
      <c r="K222" s="1671">
        <f t="shared" si="19"/>
        <v>2888</v>
      </c>
      <c r="L222" s="466">
        <v>2900</v>
      </c>
    </row>
    <row r="223" spans="1:14" x14ac:dyDescent="0.2">
      <c r="A223" s="1504" t="s">
        <v>963</v>
      </c>
      <c r="B223" s="614">
        <v>1500</v>
      </c>
      <c r="C223" s="616"/>
      <c r="D223" s="466">
        <f>7+388+561+172+887+2155</f>
        <v>4170</v>
      </c>
      <c r="E223" s="616"/>
      <c r="F223" s="616"/>
      <c r="G223" s="616"/>
      <c r="H223" s="616"/>
      <c r="I223" s="616"/>
      <c r="J223" s="616"/>
      <c r="K223" s="1671">
        <f t="shared" si="19"/>
        <v>4170</v>
      </c>
      <c r="L223" s="466">
        <v>4785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v>1</v>
      </c>
      <c r="E225" s="616"/>
      <c r="F225" s="616"/>
      <c r="G225" s="616"/>
      <c r="H225" s="616"/>
      <c r="I225" s="616"/>
      <c r="J225" s="616"/>
      <c r="K225" s="1671">
        <f t="shared" si="19"/>
        <v>1</v>
      </c>
      <c r="L225" s="466">
        <v>15</v>
      </c>
    </row>
    <row r="226" spans="1:12" x14ac:dyDescent="0.2">
      <c r="A226" s="1504" t="s">
        <v>724</v>
      </c>
      <c r="B226" s="614" t="s">
        <v>162</v>
      </c>
      <c r="C226" s="616"/>
      <c r="D226" s="467">
        <v>1128</v>
      </c>
      <c r="E226" s="616"/>
      <c r="F226" s="616"/>
      <c r="G226" s="616"/>
      <c r="H226" s="616"/>
      <c r="I226" s="616"/>
      <c r="J226" s="616"/>
      <c r="K226" s="1671">
        <f t="shared" si="19"/>
        <v>1128</v>
      </c>
      <c r="L226" s="466">
        <v>1150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f>59+190+129</f>
        <v>378</v>
      </c>
      <c r="E228" s="616"/>
      <c r="F228" s="616"/>
      <c r="G228" s="616"/>
      <c r="H228" s="616"/>
      <c r="I228" s="616"/>
      <c r="J228" s="616"/>
      <c r="K228" s="1671">
        <f t="shared" si="19"/>
        <v>378</v>
      </c>
      <c r="L228" s="466">
        <v>680</v>
      </c>
    </row>
    <row r="229" spans="1:12" ht="12.75" customHeight="1" thickBot="1" x14ac:dyDescent="0.25">
      <c r="A229" s="1668" t="s">
        <v>715</v>
      </c>
      <c r="B229" s="1675" t="s">
        <v>570</v>
      </c>
      <c r="C229" s="616"/>
      <c r="D229" s="1670">
        <f>SUM(D215:D228)</f>
        <v>92270</v>
      </c>
      <c r="E229" s="616"/>
      <c r="F229" s="616"/>
      <c r="G229" s="616"/>
      <c r="H229" s="616"/>
      <c r="I229" s="616"/>
      <c r="J229" s="616"/>
      <c r="K229" s="1670">
        <f>SUM(K215:K228)</f>
        <v>92270</v>
      </c>
      <c r="L229" s="1670">
        <f>SUM(L215:L228)</f>
        <v>99672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f>133+362+236</f>
        <v>731</v>
      </c>
      <c r="E232" s="616"/>
      <c r="F232" s="616"/>
      <c r="G232" s="616"/>
      <c r="H232" s="616"/>
      <c r="I232" s="616"/>
      <c r="J232" s="616"/>
      <c r="K232" s="1671">
        <f t="shared" ref="K232:K237" si="20">D232</f>
        <v>731</v>
      </c>
      <c r="L232" s="466">
        <v>946</v>
      </c>
    </row>
    <row r="233" spans="1:12" x14ac:dyDescent="0.2">
      <c r="A233" s="1504" t="s">
        <v>1090</v>
      </c>
      <c r="B233" s="614">
        <v>2120</v>
      </c>
      <c r="C233" s="616"/>
      <c r="D233" s="466">
        <f>281+146+503+279+347+959+858</f>
        <v>3373</v>
      </c>
      <c r="E233" s="616"/>
      <c r="F233" s="616"/>
      <c r="G233" s="616"/>
      <c r="H233" s="616"/>
      <c r="I233" s="616"/>
      <c r="J233" s="616"/>
      <c r="K233" s="1671">
        <f t="shared" si="20"/>
        <v>3373</v>
      </c>
      <c r="L233" s="466">
        <v>3531</v>
      </c>
    </row>
    <row r="234" spans="1:12" x14ac:dyDescent="0.2">
      <c r="A234" s="1504" t="s">
        <v>198</v>
      </c>
      <c r="B234" s="614">
        <v>2130</v>
      </c>
      <c r="C234" s="616"/>
      <c r="D234" s="466">
        <f>15+308+390+294+453+453</f>
        <v>1913</v>
      </c>
      <c r="E234" s="616"/>
      <c r="F234" s="616"/>
      <c r="G234" s="616"/>
      <c r="H234" s="616"/>
      <c r="I234" s="616"/>
      <c r="J234" s="616"/>
      <c r="K234" s="1671">
        <f t="shared" si="20"/>
        <v>1913</v>
      </c>
      <c r="L234" s="466">
        <v>2100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f>32+7+266+62</f>
        <v>367</v>
      </c>
      <c r="E237" s="616"/>
      <c r="F237" s="616"/>
      <c r="G237" s="616"/>
      <c r="H237" s="616"/>
      <c r="I237" s="616"/>
      <c r="J237" s="616"/>
      <c r="K237" s="1671">
        <f t="shared" si="20"/>
        <v>367</v>
      </c>
      <c r="L237" s="466">
        <v>430</v>
      </c>
    </row>
    <row r="238" spans="1:12" ht="12.75" customHeight="1" thickBot="1" x14ac:dyDescent="0.25">
      <c r="A238" s="1668" t="s">
        <v>560</v>
      </c>
      <c r="B238" s="1675" t="s">
        <v>716</v>
      </c>
      <c r="C238" s="616"/>
      <c r="D238" s="1670">
        <f>SUM(D232:D237)</f>
        <v>6384</v>
      </c>
      <c r="E238" s="616"/>
      <c r="F238" s="616"/>
      <c r="G238" s="616"/>
      <c r="H238" s="616"/>
      <c r="I238" s="616"/>
      <c r="J238" s="616"/>
      <c r="K238" s="1670">
        <f>SUM(K232:K237)</f>
        <v>6384</v>
      </c>
      <c r="L238" s="1670">
        <f>SUM(L232:L237)</f>
        <v>7007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403+120+9</f>
        <v>532</v>
      </c>
      <c r="E240" s="616"/>
      <c r="F240" s="616"/>
      <c r="G240" s="616"/>
      <c r="H240" s="616"/>
      <c r="I240" s="616"/>
      <c r="J240" s="616"/>
      <c r="K240" s="1672">
        <f>D240</f>
        <v>532</v>
      </c>
      <c r="L240" s="481">
        <v>627</v>
      </c>
    </row>
    <row r="241" spans="1:12" x14ac:dyDescent="0.2">
      <c r="A241" s="1504" t="s">
        <v>815</v>
      </c>
      <c r="B241" s="614">
        <v>2220</v>
      </c>
      <c r="C241" s="616"/>
      <c r="D241" s="466">
        <f>25+13+162+14851+8788+2055+639+2025+1256+294+1921+1161+431+28+7</f>
        <v>33656</v>
      </c>
      <c r="E241" s="616"/>
      <c r="F241" s="616"/>
      <c r="G241" s="616"/>
      <c r="H241" s="616"/>
      <c r="I241" s="616"/>
      <c r="J241" s="616"/>
      <c r="K241" s="1672">
        <f>D241</f>
        <v>33656</v>
      </c>
      <c r="L241" s="466">
        <v>35960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34188</v>
      </c>
      <c r="E243" s="616"/>
      <c r="F243" s="616"/>
      <c r="G243" s="616"/>
      <c r="H243" s="616"/>
      <c r="I243" s="616"/>
      <c r="J243" s="616"/>
      <c r="K243" s="1670">
        <f>SUM(K240:K242)</f>
        <v>34188</v>
      </c>
      <c r="L243" s="1670">
        <f>SUM(L240:L242)</f>
        <v>36587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5852+82+48+11</f>
        <v>5993</v>
      </c>
      <c r="E245" s="616"/>
      <c r="F245" s="616"/>
      <c r="G245" s="616"/>
      <c r="H245" s="616"/>
      <c r="I245" s="616"/>
      <c r="J245" s="616"/>
      <c r="K245" s="1672">
        <f>D245</f>
        <v>5993</v>
      </c>
      <c r="L245" s="481">
        <v>6220</v>
      </c>
    </row>
    <row r="246" spans="1:12" x14ac:dyDescent="0.2">
      <c r="A246" s="1504" t="s">
        <v>818</v>
      </c>
      <c r="B246" s="614">
        <v>2320</v>
      </c>
      <c r="C246" s="616"/>
      <c r="D246" s="466">
        <f>3914+2311+2128</f>
        <v>8353</v>
      </c>
      <c r="E246" s="616"/>
      <c r="F246" s="616"/>
      <c r="G246" s="616"/>
      <c r="H246" s="616"/>
      <c r="I246" s="616"/>
      <c r="J246" s="616"/>
      <c r="K246" s="1672">
        <f t="shared" ref="K246:K256" si="21">D246</f>
        <v>8353</v>
      </c>
      <c r="L246" s="466">
        <v>8725</v>
      </c>
    </row>
    <row r="247" spans="1:12" x14ac:dyDescent="0.2">
      <c r="A247" s="1504" t="s">
        <v>819</v>
      </c>
      <c r="B247" s="614">
        <v>2330</v>
      </c>
      <c r="C247" s="616"/>
      <c r="D247" s="466">
        <f>26+795+13+476+3+111</f>
        <v>1424</v>
      </c>
      <c r="E247" s="616"/>
      <c r="F247" s="616"/>
      <c r="G247" s="616"/>
      <c r="H247" s="616"/>
      <c r="I247" s="616"/>
      <c r="J247" s="616"/>
      <c r="K247" s="1672">
        <f t="shared" si="21"/>
        <v>1424</v>
      </c>
      <c r="L247" s="466">
        <v>1694</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15770</v>
      </c>
      <c r="E257" s="616"/>
      <c r="F257" s="616"/>
      <c r="G257" s="616"/>
      <c r="H257" s="616"/>
      <c r="I257" s="616"/>
      <c r="J257" s="616"/>
      <c r="K257" s="1670">
        <f>SUM(K245:K256)</f>
        <v>15770</v>
      </c>
      <c r="L257" s="1670">
        <f>SUM(L245:L256)</f>
        <v>16639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1893+989+948+4527+2729+1745+86+3077+1858+991+86+6289+3800+1445+86+6247+3790+2061+86</f>
        <v>42733</v>
      </c>
      <c r="E259" s="616"/>
      <c r="F259" s="616"/>
      <c r="G259" s="616"/>
      <c r="H259" s="616"/>
      <c r="I259" s="616"/>
      <c r="J259" s="616"/>
      <c r="K259" s="1672">
        <f>D259</f>
        <v>42733</v>
      </c>
      <c r="L259" s="481">
        <v>46836</v>
      </c>
    </row>
    <row r="260" spans="1:14" s="597" customFormat="1" x14ac:dyDescent="0.2">
      <c r="A260" s="1522" t="s">
        <v>1802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42733</v>
      </c>
      <c r="E261" s="616"/>
      <c r="F261" s="616"/>
      <c r="G261" s="616"/>
      <c r="H261" s="616"/>
      <c r="I261" s="616"/>
      <c r="J261" s="616"/>
      <c r="K261" s="1670">
        <f>SUM(K259:K260)</f>
        <v>42733</v>
      </c>
      <c r="L261" s="1670">
        <f>SUM(L259:L260)</f>
        <v>46836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11500+6797+1590</f>
        <v>19887</v>
      </c>
      <c r="E264" s="616"/>
      <c r="F264" s="616"/>
      <c r="G264" s="616"/>
      <c r="H264" s="616"/>
      <c r="I264" s="616"/>
      <c r="J264" s="616"/>
      <c r="K264" s="1672">
        <f t="shared" ref="K264:K269" si="22">D264</f>
        <v>19887</v>
      </c>
      <c r="L264" s="466">
        <v>20520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35855+22164+5184</f>
        <v>63203</v>
      </c>
      <c r="E266" s="616"/>
      <c r="F266" s="616"/>
      <c r="G266" s="616"/>
      <c r="H266" s="616"/>
      <c r="I266" s="616"/>
      <c r="J266" s="616"/>
      <c r="K266" s="1672">
        <f t="shared" si="22"/>
        <v>63203</v>
      </c>
      <c r="L266" s="466">
        <v>65300</v>
      </c>
    </row>
    <row r="267" spans="1:14" x14ac:dyDescent="0.2">
      <c r="A267" s="1504" t="s">
        <v>953</v>
      </c>
      <c r="B267" s="614">
        <v>2550</v>
      </c>
      <c r="C267" s="616"/>
      <c r="D267" s="466">
        <f>282+181+42+29792+20839+4874+406+408+95+4825+2853+667+3812+2256+528</f>
        <v>71860</v>
      </c>
      <c r="E267" s="616"/>
      <c r="F267" s="616"/>
      <c r="G267" s="616"/>
      <c r="H267" s="616"/>
      <c r="I267" s="616"/>
      <c r="J267" s="616"/>
      <c r="K267" s="1672">
        <f t="shared" si="22"/>
        <v>71860</v>
      </c>
      <c r="L267" s="466">
        <v>77908</v>
      </c>
    </row>
    <row r="268" spans="1:14" x14ac:dyDescent="0.2">
      <c r="A268" s="1504" t="s">
        <v>100</v>
      </c>
      <c r="B268" s="614">
        <v>2560</v>
      </c>
      <c r="C268" s="616"/>
      <c r="D268" s="466">
        <f>17804+10929+2556</f>
        <v>31289</v>
      </c>
      <c r="E268" s="616"/>
      <c r="F268" s="616"/>
      <c r="G268" s="616"/>
      <c r="H268" s="616"/>
      <c r="I268" s="616"/>
      <c r="J268" s="616"/>
      <c r="K268" s="1672">
        <f t="shared" si="22"/>
        <v>31289</v>
      </c>
      <c r="L268" s="466">
        <v>34300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186239</v>
      </c>
      <c r="E270" s="616"/>
      <c r="F270" s="616"/>
      <c r="G270" s="616"/>
      <c r="H270" s="616"/>
      <c r="I270" s="616"/>
      <c r="J270" s="616"/>
      <c r="K270" s="1670">
        <f>SUM(K263:K269)</f>
        <v>186239</v>
      </c>
      <c r="L270" s="1670">
        <f>SUM(L263:L269)</f>
        <v>198028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285314</v>
      </c>
      <c r="E279" s="616"/>
      <c r="F279" s="616"/>
      <c r="G279" s="616"/>
      <c r="H279" s="616"/>
      <c r="I279" s="616"/>
      <c r="J279" s="616"/>
      <c r="K279" s="1677">
        <f>SUM(K238,K243,K257,K261,K270,K277,K278)</f>
        <v>285314</v>
      </c>
      <c r="L279" s="1677">
        <f>SUM(L238,L243,L257,L261,L270,L277,L278)</f>
        <v>305097</v>
      </c>
    </row>
    <row r="280" spans="1:12" ht="15.75" customHeight="1" thickTop="1" thickBot="1" x14ac:dyDescent="0.25">
      <c r="A280" s="1624" t="s">
        <v>875</v>
      </c>
      <c r="B280" s="1613">
        <v>3000</v>
      </c>
      <c r="C280" s="616"/>
      <c r="D280" s="576">
        <f>32+11+23+20+10</f>
        <v>96</v>
      </c>
      <c r="E280" s="616"/>
      <c r="F280" s="616"/>
      <c r="G280" s="616"/>
      <c r="H280" s="616"/>
      <c r="I280" s="616"/>
      <c r="J280" s="616"/>
      <c r="K280" s="1679">
        <f>D280</f>
        <v>96</v>
      </c>
      <c r="L280" s="576">
        <v>98</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377680</v>
      </c>
      <c r="E295" s="616"/>
      <c r="F295" s="616"/>
      <c r="G295" s="616"/>
      <c r="H295" s="1670">
        <f>H293</f>
        <v>0</v>
      </c>
      <c r="I295" s="616"/>
      <c r="J295" s="616"/>
      <c r="K295" s="1670">
        <f>SUM(K229,K279,K280,K285,K293,K294)</f>
        <v>377680</v>
      </c>
      <c r="L295" s="1670">
        <f>SUM(L229,L279,L280,L285,L293,L294)</f>
        <v>404867</v>
      </c>
    </row>
    <row r="296" spans="1:14" ht="13.5" thickTop="1" x14ac:dyDescent="0.2">
      <c r="A296" s="2153" t="s">
        <v>996</v>
      </c>
      <c r="B296" s="2154"/>
      <c r="C296" s="616"/>
      <c r="D296" s="618"/>
      <c r="E296" s="616"/>
      <c r="F296" s="616"/>
      <c r="G296" s="616"/>
      <c r="H296" s="687"/>
      <c r="I296" s="616"/>
      <c r="J296" s="616"/>
      <c r="K296" s="1684">
        <f>'Revenues 9-14'!G268-'Expenditures 15-22'!K295</f>
        <v>28944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326037</v>
      </c>
      <c r="H301" s="466"/>
      <c r="I301" s="467"/>
      <c r="J301" s="467"/>
      <c r="K301" s="1671">
        <f>SUM(C301:J301)</f>
        <v>326037</v>
      </c>
      <c r="L301" s="467">
        <v>345000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326037</v>
      </c>
      <c r="H303" s="1677">
        <f t="shared" si="23"/>
        <v>0</v>
      </c>
      <c r="I303" s="1677">
        <f t="shared" si="23"/>
        <v>0</v>
      </c>
      <c r="J303" s="1677">
        <f t="shared" si="23"/>
        <v>0</v>
      </c>
      <c r="K303" s="1677">
        <f t="shared" si="23"/>
        <v>326037</v>
      </c>
      <c r="L303" s="1677">
        <f t="shared" si="23"/>
        <v>345000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326037</v>
      </c>
      <c r="H312" s="1670">
        <f>SUM(H303,H310)</f>
        <v>0</v>
      </c>
      <c r="I312" s="1670">
        <f>SUM(I303)</f>
        <v>0</v>
      </c>
      <c r="J312" s="1670">
        <f>SUM(J303)</f>
        <v>0</v>
      </c>
      <c r="K312" s="1670">
        <f>SUM(K303,K310,K311)</f>
        <v>326037</v>
      </c>
      <c r="L312" s="1670">
        <f>SUM(L303,L310,L311)</f>
        <v>345000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114012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v>55359</v>
      </c>
      <c r="F320" s="467"/>
      <c r="G320" s="467"/>
      <c r="H320" s="467"/>
      <c r="I320" s="467"/>
      <c r="J320" s="467"/>
      <c r="K320" s="1671">
        <f t="shared" ref="K320:K327" si="24">SUM(C320:J320)</f>
        <v>55359</v>
      </c>
      <c r="L320" s="467">
        <v>75000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34187</v>
      </c>
      <c r="F322" s="467"/>
      <c r="G322" s="467"/>
      <c r="H322" s="467"/>
      <c r="I322" s="467"/>
      <c r="J322" s="467"/>
      <c r="K322" s="1671">
        <f t="shared" si="24"/>
        <v>34187</v>
      </c>
      <c r="L322" s="467">
        <v>45000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10000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f>47712+1680-1</f>
        <v>49391</v>
      </c>
      <c r="F325" s="467"/>
      <c r="G325" s="467"/>
      <c r="H325" s="467"/>
      <c r="I325" s="467"/>
      <c r="J325" s="467"/>
      <c r="K325" s="1671">
        <f t="shared" si="24"/>
        <v>49391</v>
      </c>
      <c r="L325" s="467">
        <v>70000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16365</v>
      </c>
      <c r="F327" s="467"/>
      <c r="G327" s="467"/>
      <c r="H327" s="467"/>
      <c r="I327" s="467"/>
      <c r="J327" s="467"/>
      <c r="K327" s="1671">
        <f t="shared" si="24"/>
        <v>16365</v>
      </c>
      <c r="L327" s="467">
        <v>30000</v>
      </c>
      <c r="M327" s="665"/>
      <c r="N327" s="665"/>
    </row>
    <row r="328" spans="1:14" s="674" customFormat="1" x14ac:dyDescent="0.2">
      <c r="A328" s="1520" t="s">
        <v>472</v>
      </c>
      <c r="B328" s="690" t="s">
        <v>1132</v>
      </c>
      <c r="C328" s="474"/>
      <c r="D328" s="474"/>
      <c r="E328" s="474">
        <v>79826</v>
      </c>
      <c r="F328" s="474"/>
      <c r="G328" s="474"/>
      <c r="H328" s="474"/>
      <c r="I328" s="474"/>
      <c r="J328" s="474"/>
      <c r="K328" s="1699">
        <f>SUM(C328:J328)</f>
        <v>79826</v>
      </c>
      <c r="L328" s="474">
        <v>85000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235128</v>
      </c>
      <c r="F330" s="1670">
        <f t="shared" si="25"/>
        <v>0</v>
      </c>
      <c r="G330" s="1670">
        <f t="shared" si="25"/>
        <v>0</v>
      </c>
      <c r="H330" s="1670">
        <f t="shared" si="25"/>
        <v>0</v>
      </c>
      <c r="I330" s="1670">
        <f t="shared" si="25"/>
        <v>0</v>
      </c>
      <c r="J330" s="1670">
        <f t="shared" si="25"/>
        <v>0</v>
      </c>
      <c r="K330" s="1670">
        <f>SUM(K319:K329)</f>
        <v>235128</v>
      </c>
      <c r="L330" s="1670">
        <f>SUM(L319:L329)</f>
        <v>315000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235128</v>
      </c>
      <c r="F342" s="1670">
        <f>SUM(F330)</f>
        <v>0</v>
      </c>
      <c r="G342" s="1670">
        <f>SUM(G330)</f>
        <v>0</v>
      </c>
      <c r="H342" s="1670">
        <f>SUM(H330,H334,H340)</f>
        <v>0</v>
      </c>
      <c r="I342" s="1670">
        <f>SUM(I330)</f>
        <v>0</v>
      </c>
      <c r="J342" s="1670">
        <f>SUM(J330)</f>
        <v>0</v>
      </c>
      <c r="K342" s="1670">
        <f>SUM(K330,K334,K340)</f>
        <v>235128</v>
      </c>
      <c r="L342" s="1677">
        <f>SUM(L330,L340,L341)</f>
        <v>315000</v>
      </c>
    </row>
    <row r="343" spans="1:14" ht="12.75" customHeight="1" thickTop="1" x14ac:dyDescent="0.2">
      <c r="A343" s="2166" t="s">
        <v>996</v>
      </c>
      <c r="B343" s="2167"/>
      <c r="C343" s="616"/>
      <c r="D343" s="616"/>
      <c r="E343" s="616"/>
      <c r="F343" s="616"/>
      <c r="G343" s="616"/>
      <c r="H343" s="616"/>
      <c r="I343" s="616"/>
      <c r="J343" s="616"/>
      <c r="K343" s="1684">
        <f>'Revenues 9-14'!J268-'Expenditures 15-22'!K342</f>
        <v>-174182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1389</v>
      </c>
      <c r="F348" s="466"/>
      <c r="G348" s="466">
        <v>84023</v>
      </c>
      <c r="H348" s="466"/>
      <c r="I348" s="467"/>
      <c r="J348" s="467"/>
      <c r="K348" s="1671">
        <f>SUM(C348:J348)</f>
        <v>85412</v>
      </c>
      <c r="L348" s="466">
        <v>165000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1389</v>
      </c>
      <c r="F350" s="1670">
        <f t="shared" si="26"/>
        <v>0</v>
      </c>
      <c r="G350" s="1670">
        <f t="shared" si="26"/>
        <v>84023</v>
      </c>
      <c r="H350" s="1670">
        <f t="shared" si="26"/>
        <v>0</v>
      </c>
      <c r="I350" s="1670">
        <f t="shared" si="26"/>
        <v>0</v>
      </c>
      <c r="J350" s="1670">
        <f t="shared" si="26"/>
        <v>0</v>
      </c>
      <c r="K350" s="1670">
        <f t="shared" si="26"/>
        <v>85412</v>
      </c>
      <c r="L350" s="1670">
        <f t="shared" si="26"/>
        <v>165000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1389</v>
      </c>
      <c r="F352" s="1670">
        <f t="shared" si="27"/>
        <v>0</v>
      </c>
      <c r="G352" s="1670">
        <f t="shared" si="27"/>
        <v>84023</v>
      </c>
      <c r="H352" s="1670">
        <f t="shared" si="27"/>
        <v>0</v>
      </c>
      <c r="I352" s="1670">
        <f t="shared" si="27"/>
        <v>0</v>
      </c>
      <c r="J352" s="1670">
        <f t="shared" si="27"/>
        <v>0</v>
      </c>
      <c r="K352" s="1670">
        <f t="shared" si="27"/>
        <v>85412</v>
      </c>
      <c r="L352" s="1670">
        <f t="shared" si="27"/>
        <v>165000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1389</v>
      </c>
      <c r="F367" s="1670">
        <f t="shared" si="28"/>
        <v>0</v>
      </c>
      <c r="G367" s="1670">
        <f t="shared" si="28"/>
        <v>84023</v>
      </c>
      <c r="H367" s="1670">
        <f t="shared" si="28"/>
        <v>0</v>
      </c>
      <c r="I367" s="1670">
        <f t="shared" si="28"/>
        <v>0</v>
      </c>
      <c r="J367" s="1670">
        <f t="shared" si="28"/>
        <v>0</v>
      </c>
      <c r="K367" s="1670">
        <f t="shared" si="28"/>
        <v>85412</v>
      </c>
      <c r="L367" s="1670">
        <f t="shared" si="28"/>
        <v>165000</v>
      </c>
    </row>
    <row r="368" spans="1:14" ht="13.5" thickTop="1" x14ac:dyDescent="0.2">
      <c r="A368" s="2153" t="s">
        <v>996</v>
      </c>
      <c r="B368" s="2154"/>
      <c r="C368" s="654"/>
      <c r="D368" s="654"/>
      <c r="E368" s="626"/>
      <c r="F368" s="626"/>
      <c r="G368" s="626"/>
      <c r="H368" s="626"/>
      <c r="I368" s="626"/>
      <c r="J368" s="623"/>
      <c r="K368" s="1671">
        <f>'Revenues 9-14'!K268-'Expenditures 15-22'!K367</f>
        <v>-33143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purl.org/dc/elements/1.1/"/>
    <ds:schemaRef ds:uri="http://schemas.microsoft.com/office/2006/documentManagement/types"/>
    <ds:schemaRef ds:uri="http://schemas.openxmlformats.org/package/2006/metadata/core-properties"/>
    <ds:schemaRef ds:uri="http://schemas.microsoft.com/sharepoint/v3"/>
    <ds:schemaRef ds:uri="http://purl.org/dc/dcmitype/"/>
    <ds:schemaRef ds:uri="http://www.w3.org/XML/1998/namespace"/>
    <ds:schemaRef ds:uri="4d435f69-8686-490b-bd6d-b153bf22ab50"/>
    <ds:schemaRef ds:uri="http://schemas.microsoft.com/office/infopath/2007/PartnerControls"/>
    <ds:schemaRef ds:uri="d21dc803-237d-4c68-8692-8d731fd2911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2019-09-16T12:08:22Z</cp:lastPrinted>
  <dcterms:created xsi:type="dcterms:W3CDTF">2003-10-29T19:06:34Z</dcterms:created>
  <dcterms:modified xsi:type="dcterms:W3CDTF">2020-03-13T13:27:54Z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