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6E0401C-0852-434A-AB2C-E91D9C6810C1}" xr6:coauthVersionLast="36" xr6:coauthVersionMax="36" xr10:uidLastSave="{00000000-0000-0000-0000-000000000000}"/>
  <bookViews>
    <workbookView xWindow="25080" yWindow="-120" windowWidth="24240" windowHeight="13140" tabRatio="77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PCTC-OEPP 27-28" sheetId="34" r:id="rId13"/>
    <sheet name="Cap Outlay Deprec 26" sheetId="11"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2019-3" sheetId="184" r:id="rId31"/>
    <sheet name="SF&amp;QC Sec-2 2019-2" sheetId="183" r:id="rId32"/>
    <sheet name="SF&amp;QC Sec-2 2019-1" sheetId="175"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2">'PCTC-OEPP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31">#REF!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ADDRS3">#REF!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31">#REF!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CTY2" localSheetId="30">#REF!</definedName>
    <definedName name="SCHCTY2">#REF!</definedName>
    <definedName name="SCHCTY3">#REF!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31">#REF!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BR3">#REF!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31">#REF!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CHNME2" localSheetId="30">#REF!</definedName>
    <definedName name="SCHNME2">#REF!</definedName>
    <definedName name="SCNMBR2" localSheetId="30">#REF!</definedName>
    <definedName name="SCNMBR2">#REF!</definedName>
    <definedName name="SFQC2" localSheetId="30">#REF!</definedName>
    <definedName name="SFQC2">#REF!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31">#REF!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 name="SUPt2" localSheetId="30">#REF!</definedName>
    <definedName name="SUPt2">#REF!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G27" i="108"/>
  <c r="F36" i="108"/>
  <c r="G28" i="108"/>
  <c r="E30" i="108"/>
  <c r="G30"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D24" i="37"/>
  <c r="B4270" i="106" s="1"/>
  <c r="D4270" i="106" s="1"/>
  <c r="B5752" i="106"/>
  <c r="D5752" i="106" s="1"/>
  <c r="D17" i="7"/>
  <c r="B4104" i="106" s="1"/>
  <c r="D4104" i="106" s="1"/>
  <c r="L15" i="11" l="1"/>
  <c r="B3459" i="106" s="1"/>
  <c r="D3459" i="106" s="1"/>
  <c r="D54" i="36"/>
  <c r="L13" i="11"/>
  <c r="B2060" i="106" s="1"/>
  <c r="D2060" i="106" s="1"/>
  <c r="C342" i="29"/>
  <c r="B7216" i="106" s="1"/>
  <c r="D7216" i="106" s="1"/>
  <c r="D26" i="108"/>
  <c r="F26" i="108"/>
  <c r="B1126" i="106"/>
  <c r="D1126" i="106" s="1"/>
  <c r="D37" i="108"/>
  <c r="D7245" i="106"/>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B6216" i="106" s="1"/>
  <c r="D6216" i="10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D51" i="36"/>
  <c r="N23" i="3"/>
  <c r="B284" i="106" s="1"/>
  <c r="D284" i="106" s="1"/>
  <c r="B1317" i="106"/>
  <c r="D1317" i="106" s="1"/>
  <c r="F41" i="108"/>
  <c r="G43" i="108" s="1"/>
  <c r="C114" i="29"/>
  <c r="B757" i="106" s="1"/>
  <c r="D757" i="106" s="1"/>
  <c r="B5527" i="106"/>
  <c r="D5527" i="106" s="1"/>
  <c r="D52" i="36"/>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30" i="106" s="1"/>
  <c r="D6230" i="106" s="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<sst xmlns="http://schemas.openxmlformats.org/spreadsheetml/2006/main" count="5216" uniqueCount="2164">
  <si>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</si>
  <si>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</si>
  <si>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</si>
  <si>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</si>
  <si>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</si>
  <si>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</si>
  <si>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</si>
  <si>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</si>
  <si>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</si>
  <si>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</si>
  <si>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</si>
  <si>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</si>
  <si>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</si>
  <si>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</si>
  <si>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</si>
  <si>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</si>
  <si>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</si>
  <si>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</si>
  <si>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</si>
  <si>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</si>
  <si>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</si>
  <si>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</si>
  <si>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</si>
  <si>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</si>
  <si>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</si>
  <si>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</si>
  <si>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</si>
  <si>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</si>
  <si>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</si>
  <si>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</si>
  <si>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</si>
  <si>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</si>
  <si>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</si>
  <si>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</si>
  <si>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</si>
  <si>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</si>
  <si>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</si>
  <si>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</si>
  <si>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</si>
  <si>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</si>
  <si>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</si>
  <si>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</si>
  <si>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</si>
  <si>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</si>
  <si>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</si>
  <si>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</si>
  <si>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</si>
  <si>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</si>
  <si>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</si>
  <si>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</si>
  <si>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</si>
  <si>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</si>
  <si>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</si>
  <si>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</si>
  <si>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</si>
  <si>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</si>
  <si>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</si>
  <si>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</si>
  <si>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</si>
  <si>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</si>
  <si>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</si>
  <si>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</si>
  <si>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</si>
  <si>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</si>
  <si>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</si>
  <si>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</si>
  <si>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</si>
  <si>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</si>
  <si>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</si>
  <si>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</si>
  <si>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</si>
  <si>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</si>
  <si>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</si>
  <si>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</si>
  <si>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</si>
  <si>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</si>
  <si>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</si>
  <si>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</si>
  <si>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</si>
  <si>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</si>
  <si>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</si>
  <si>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</si>
  <si>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</si>
  <si>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</si>
  <si>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</si>
  <si>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</si>
  <si>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</si>
  <si>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</si>
  <si>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</si>
  <si>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</si>
  <si>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</si>
  <si>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</si>
  <si>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</si>
  <si>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</si>
  <si>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</si>
  <si>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</si>
  <si>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</si>
  <si>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</si>
  <si>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</si>
  <si>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</si>
  <si>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</si>
  <si>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</si>
  <si>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</si>
  <si>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</si>
  <si>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</si>
  <si>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</si>
  <si>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</si>
  <si>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</si>
  <si>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</si>
  <si>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</si>
  <si>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</si>
  <si>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</si>
  <si>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</si>
  <si>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</si>
  <si>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</si>
  <si>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</si>
  <si>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</si>
  <si>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</si>
  <si>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</si>
  <si>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</si>
  <si>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</si>
  <si>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</si>
  <si>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</si>
  <si>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</si>
  <si>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</si>
  <si>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</si>
  <si>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</si>
  <si>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</si>
  <si>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</si>
  <si>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</si>
  <si>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</si>
  <si>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</si>
  <si>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</si>
  <si>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</si>
  <si>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</si>
  <si>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</si>
  <si>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</si>
  <si>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</si>
  <si>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</si>
  <si>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</si>
  <si>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</si>
  <si>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</si>
  <si>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</si>
  <si>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</si>
  <si>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</si>
  <si>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</si>
  <si>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</si>
  <si>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</si>
  <si>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</si>
  <si>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</si>
  <si>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</si>
  <si>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</si>
  <si>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</si>
  <si>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</si>
  <si>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</si>
  <si>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</si>
  <si>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</si>
  <si>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</si>
  <si>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</si>
  <si>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</si>
  <si>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</si>
  <si>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</si>
  <si>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</si>
  <si>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</si>
  <si>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</si>
  <si>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</si>
  <si>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</si>
  <si>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</si>
  <si>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</si>
  <si>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</si>
  <si>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</si>
  <si>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</si>
  <si>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</si>
  <si>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</si>
  <si>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</si>
  <si>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</si>
  <si>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</si>
  <si>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</si>
  <si>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</si>
  <si>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</si>
  <si>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</si>
  <si>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</si>
  <si>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</si>
  <si>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</si>
  <si>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</si>
  <si>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</si>
  <si>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</si>
  <si>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</si>
  <si>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</si>
  <si>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</si>
  <si>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</si>
  <si>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</si>
  <si>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</si>
  <si>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</si>
  <si>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</si>
  <si>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</si>
  <si>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</si>
  <si>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</si>
  <si>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</si>
  <si>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</si>
  <si>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</si>
  <si>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</si>
  <si>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</si>
  <si>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</si>
  <si>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</si>
  <si>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</si>
  <si>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</si>
  <si>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</si>
  <si>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</si>
  <si>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</si>
  <si>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</si>
  <si>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</si>
  <si>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</si>
  <si>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</si>
  <si>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</si>
  <si>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</si>
  <si>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</si>
  <si>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</si>
  <si>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</si>
  <si>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</si>
  <si>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</si>
  <si>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</si>
  <si>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</si>
  <si>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</si>
  <si>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</si>
  <si>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</si>
  <si>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</si>
  <si>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</si>
  <si>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</si>
  <si>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</si>
  <si>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</si>
  <si>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</si>
  <si>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</si>
  <si>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</si>
  <si>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</si>
  <si>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</si>
  <si>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</si>
  <si>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</si>
  <si>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</si>
  <si>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</si>
  <si>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</si>
  <si>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</si>
  <si>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</si>
  <si>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</si>
  <si>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</si>
  <si>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</si>
  <si>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</si>
  <si>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</si>
  <si>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</si>
  <si>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</si>
  <si>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</si>
  <si>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</si>
  <si>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</si>
  <si>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</si>
  <si>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</si>
  <si>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</si>
  <si>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</si>
  <si>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</si>
  <si>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</si>
  <si>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</si>
  <si>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</si>
  <si>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</si>
  <si>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</si>
  <si>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</si>
  <si>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</si>
  <si>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</si>
  <si>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</si>
  <si>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</si>
  <si>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</si>
  <si>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</si>
  <si>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</si>
  <si>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</si>
  <si>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</si>
  <si>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</si>
  <si>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</si>
  <si>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</si>
  <si>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</si>
  <si>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</si>
  <si>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</si>
  <si>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</si>
  <si>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</si>
  <si>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</si>
  <si>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</si>
  <si>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</si>
  <si>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</si>
  <si>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</si>
  <si>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</si>
  <si>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</si>
  <si>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</si>
  <si>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</si>
  <si>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</si>
  <si>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</si>
  <si>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</si>
  <si>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</si>
  <si>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</si>
  <si>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</si>
  <si>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</si>
  <si>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</si>
  <si>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</si>
  <si>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</si>
  <si>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</si>
  <si>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</si>
  <si>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</si>
  <si>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</si>
  <si>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</si>
  <si>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</si>
  <si>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</si>
  <si>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</si>
  <si>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</si>
  <si>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</si>
  <si>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</si>
  <si>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</si>
  <si>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</si>
  <si>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</si>
  <si>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</si>
  <si>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</si>
  <si>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</si>
  <si>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</si>
  <si>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</si>
  <si>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</si>
  <si>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</si>
  <si>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</si>
  <si>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</si>
  <si>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</si>
  <si>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</si>
  <si>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</si>
  <si>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</si>
  <si>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</si>
  <si>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</si>
  <si>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</si>
  <si>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</si>
  <si>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</si>
  <si>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</si>
  <si>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</si>
  <si>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</si>
  <si>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</si>
  <si>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</si>
  <si>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</si>
  <si>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</si>
  <si>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</si>
  <si>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</si>
  <si>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</si>
  <si>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</si>
  <si>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</si>
  <si>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</si>
  <si>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</si>
  <si>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</si>
  <si>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</si>
  <si>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</si>
  <si>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</si>
  <si>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</si>
  <si>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</si>
  <si>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</si>
  <si>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</si>
  <si>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</si>
  <si>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</si>
  <si>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</si>
  <si>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</si>
  <si>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</si>
  <si>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</si>
  <si>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</si>
  <si>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</si>
  <si>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</si>
  <si>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</si>
  <si>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</si>
  <si>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</si>
  <si>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</si>
  <si>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</si>
  <si>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</si>
  <si>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</si>
  <si>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</si>
  <si>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</si>
  <si>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</si>
  <si>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</si>
  <si>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</si>
  <si>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</si>
  <si>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</si>
  <si>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</si>
  <si>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</si>
  <si>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</si>
  <si>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</si>
  <si>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</si>
  <si>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</si>
  <si>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</si>
  <si>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</si>
  <si>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</si>
  <si>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</si>
  <si>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</si>
  <si>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</si>
  <si>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</si>
  <si>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</si>
  <si>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</si>
  <si>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</si>
  <si>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</si>
  <si>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</si>
  <si>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</si>
  <si>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</si>
  <si>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</si>
  <si>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</si>
  <si>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</si>
  <si>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</si>
  <si>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</si>
  <si>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</si>
  <si>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</si>
  <si>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</si>
  <si>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</si>
  <si>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</si>
  <si>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</si>
  <si>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</si>
  <si>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</si>
  <si>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</si>
  <si>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</si>
  <si>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</si>
  <si>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</si>
  <si>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</si>
  <si>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</si>
  <si>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</si>
  <si>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</si>
  <si>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</si>
  <si>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</si>
  <si>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</si>
  <si>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</si>
  <si>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</si>
  <si>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</si>
  <si>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</si>
  <si>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</si>
  <si>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</si>
  <si>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</si>
  <si>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</si>
  <si>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</si>
  <si>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</si>
  <si>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</si>
  <si>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</si>
  <si>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</si>
  <si>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</si>
  <si>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</si>
  <si>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</si>
  <si>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</si>
  <si>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</si>
  <si>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</si>
  <si>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</si>
  <si>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</si>
  <si>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</si>
  <si>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</si>
  <si>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</si>
  <si>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</si>
  <si>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</si>
  <si>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</si>
  <si>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</si>
  <si>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</si>
  <si>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</si>
  <si>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</si>
  <si>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</si>
  <si>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</si>
  <si>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</si>
  <si>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</si>
  <si>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</si>
  <si>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</si>
  <si>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</si>
  <si>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</si>
  <si>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</si>
  <si>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</si>
  <si>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</si>
  <si>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</si>
  <si>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</si>
  <si>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</si>
  <si>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</si>
  <si>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</si>
  <si>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</si>
  <si>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</si>
  <si>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</si>
  <si>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</si>
  <si>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</si>
  <si>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</si>
  <si>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</si>
  <si>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</si>
  <si>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</si>
  <si>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</si>
  <si>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</si>
  <si>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</si>
  <si>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</si>
  <si>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</si>
  <si>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</si>
  <si>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</si>
  <si>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</si>
  <si>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</si>
  <si>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</si>
  <si>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</si>
  <si>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</si>
  <si>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</si>
  <si>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</si>
  <si>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</si>
  <si>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</si>
  <si>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</si>
  <si>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</si>
  <si>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</si>
  <si>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</si>
  <si>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</si>
  <si>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</si>
  <si>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</si>
  <si>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</si>
  <si>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</si>
  <si>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</si>
  <si>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</si>
  <si>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</si>
  <si>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</si>
  <si>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</si>
  <si>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</si>
  <si>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</si>
  <si>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</si>
  <si>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</si>
  <si>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</si>
  <si>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</si>
  <si>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</si>
  <si>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</si>
  <si>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</si>
  <si>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</si>
  <si>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</si>
  <si>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</si>
  <si>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</si>
  <si>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</si>
  <si>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</si>
  <si>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</si>
  <si>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</si>
  <si>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</si>
  <si>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</si>
  <si>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</si>
  <si>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</si>
  <si>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</si>
  <si>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</si>
  <si>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</si>
  <si>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</si>
  <si>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</si>
  <si>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</si>
  <si>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</si>
  <si>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</si>
  <si>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</si>
  <si>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</si>
  <si>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</si>
  <si>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</si>
  <si>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</si>
  <si>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</si>
  <si>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</si>
  <si>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</si>
  <si>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</si>
  <si>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</si>
  <si>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</si>
  <si>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</si>
  <si>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</si>
  <si>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</si>
  <si>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</si>
  <si>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</si>
  <si>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</si>
  <si>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</si>
  <si>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</si>
  <si>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</si>
  <si>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</si>
  <si>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</si>
  <si>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</si>
  <si>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</si>
  <si>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</si>
  <si>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</si>
  <si>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</si>
  <si>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</si>
  <si>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</si>
  <si>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</si>
  <si>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</si>
  <si>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</si>
  <si>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</si>
  <si>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</si>
  <si>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</si>
  <si>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</si>
  <si>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</si>
  <si>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</si>
  <si>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</si>
  <si>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</si>
  <si>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</si>
  <si>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</si>
  <si>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</si>
  <si>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</si>
  <si>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</si>
  <si>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</si>
  <si>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</si>
  <si>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</si>
  <si>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</si>
  <si>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</si>
  <si>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</si>
  <si>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</si>
  <si>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</si>
  <si>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</si>
  <si>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</si>
  <si>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</si>
  <si>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</si>
  <si>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</si>
  <si>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</si>
  <si>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</si>
  <si>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</si>
  <si>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</si>
  <si>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</si>
  <si>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</si>
  <si>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</si>
  <si>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</si>
  <si>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</si>
  <si>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</si>
  <si>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</si>
  <si>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</si>
  <si>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</si>
  <si>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</si>
  <si>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</si>
  <si>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</si>
  <si>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</si>
  <si>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</si>
  <si>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</si>
  <si>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</si>
  <si>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</si>
  <si>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</si>
  <si>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</si>
  <si>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</si>
  <si>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</si>
  <si>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</si>
  <si>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</si>
  <si>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</si>
  <si>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</si>
  <si>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</si>
  <si>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</si>
  <si>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</si>
  <si>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</si>
  <si>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</si>
  <si>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</si>
  <si>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</si>
  <si>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</si>
  <si>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</si>
  <si>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</si>
  <si>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</si>
  <si>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</si>
  <si>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</si>
  <si>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</si>
  <si>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</si>
  <si>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</si>
  <si>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</si>
  <si>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</si>
  <si>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</si>
  <si>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</si>
  <si>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</si>
  <si>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</si>
  <si>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</si>
  <si>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</si>
  <si>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</si>
  <si>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</si>
  <si>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</si>
  <si>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</si>
  <si>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</si>
  <si>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</si>
  <si>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</si>
  <si>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</si>
  <si>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</si>
  <si>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</si>
  <si>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</si>
  <si>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</si>
  <si>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</si>
  <si>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</si>
  <si>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</si>
  <si>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</si>
  <si>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</si>
  <si>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</si>
  <si>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</si>
  <si>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</si>
  <si>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</si>
  <si>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</si>
  <si>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</si>
  <si>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</si>
  <si>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</si>
  <si>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</si>
  <si>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</si>
  <si>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</si>
  <si>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</si>
  <si>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</si>
  <si>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</si>
  <si>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</si>
  <si>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</si>
  <si>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</si>
  <si>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</si>
  <si>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</si>
  <si>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</si>
  <si>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</si>
  <si>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</si>
  <si>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</si>
  <si>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</si>
  <si>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</si>
  <si>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</si>
  <si>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</si>
  <si>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</si>
  <si>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</si>
  <si>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</si>
  <si>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</si>
  <si>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</si>
  <si>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</si>
  <si>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</si>
  <si>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</si>
  <si>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</si>
  <si>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</si>
  <si>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</si>
  <si>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</si>
  <si>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</si>
  <si>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</si>
  <si>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</si>
  <si>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</si>
  <si>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</si>
  <si>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</si>
  <si>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</si>
  <si>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</si>
  <si>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</si>
  <si>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</si>
  <si>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</si>
  <si>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</si>
  <si>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</si>
  <si>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</si>
  <si>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</si>
  <si>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</si>
  <si>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</si>
  <si>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</si>
  <si>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</si>
  <si>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</si>
  <si>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</si>
  <si>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</si>
  <si>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</si>
  <si>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</si>
  <si>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</si>
  <si>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</si>
  <si>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</si>
  <si>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</si>
  <si>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</si>
  <si>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</si>
  <si>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</si>
  <si>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</si>
  <si>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</si>
  <si>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</si>
  <si>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</si>
  <si>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</si>
  <si>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</si>
  <si>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</si>
  <si>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</si>
  <si>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</si>
  <si>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</si>
  <si>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</si>
  <si>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</si>
  <si>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</si>
  <si>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</si>
  <si>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</si>
  <si>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</si>
  <si>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</si>
  <si>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</si>
  <si>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</si>
  <si>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</si>
  <si>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</si>
  <si>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</si>
  <si>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</si>
  <si>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</si>
  <si>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</si>
  <si>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</si>
  <si>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</si>
  <si>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</si>
  <si>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</si>
  <si>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</si>
  <si>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</si>
  <si>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</si>
  <si>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</si>
  <si>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</si>
  <si>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</si>
  <si>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</si>
  <si>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</si>
  <si>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</si>
  <si>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</si>
  <si>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</si>
  <si>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</si>
  <si>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</si>
  <si>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</si>
  <si>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</si>
  <si>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</si>
  <si>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</si>
  <si>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</si>
  <si>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</si>
  <si>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</si>
  <si>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</si>
  <si>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</si>
  <si>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</si>
  <si>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</si>
  <si>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</si>
  <si>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</si>
  <si>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</si>
  <si>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</si>
  <si>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</si>
  <si>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</si>
  <si>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</si>
  <si>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</si>
  <si>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</si>
  <si>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</si>
  <si>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</si>
  <si>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</si>
  <si>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</si>
  <si>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</si>
  <si>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</si>
  <si>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</si>
  <si>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</si>
  <si>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</si>
  <si>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</si>
  <si>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</si>
  <si>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</si>
  <si>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</si>
  <si>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</si>
  <si>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</si>
  <si>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</si>
  <si>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</si>
  <si>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</si>
  <si>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</si>
  <si>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</si>
  <si>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</si>
  <si>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</si>
  <si>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</si>
  <si>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</si>
  <si>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</si>
  <si>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</si>
  <si>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</si>
  <si>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</si>
  <si>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</si>
  <si>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</si>
  <si>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</si>
  <si>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</si>
  <si>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</si>
  <si>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</si>
  <si>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</si>
  <si>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</si>
  <si>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</si>
  <si>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</si>
  <si>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</si>
  <si>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</si>
  <si>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</si>
  <si>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</si>
  <si>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</si>
  <si>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</si>
  <si>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</si>
  <si>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</si>
  <si>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</si>
  <si>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</si>
  <si>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</si>
  <si>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</si>
  <si>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</si>
  <si>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</si>
  <si>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</si>
  <si>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</si>
  <si>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</si>
  <si>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</si>
  <si>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</si>
  <si>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</si>
  <si>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</si>
  <si>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</si>
  <si>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</si>
  <si>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</si>
  <si>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</si>
  <si>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</si>
  <si>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</si>
  <si>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</si>
  <si>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</si>
  <si>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</si>
  <si>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</si>
  <si>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</si>
  <si>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</si>
  <si>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</si>
  <si>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</si>
  <si>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</si>
  <si>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</si>
  <si>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</si>
  <si>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</si>
  <si>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</si>
  <si>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</si>
  <si>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</si>
  <si>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</si>
  <si>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</si>
  <si>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</si>
  <si>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</si>
  <si>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</si>
  <si>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</si>
  <si>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</si>
  <si>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</si>
  <si>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</si>
  <si>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</si>
  <si>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</si>
  <si>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</si>
  <si>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</si>
  <si>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</si>
  <si>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</si>
  <si>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</si>
  <si>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</si>
  <si>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</si>
  <si>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</si>
  <si>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</si>
  <si>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</si>
  <si>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</si>
  <si>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</si>
  <si>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</si>
  <si>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</si>
  <si>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</si>
  <si>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</si>
  <si>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</si>
  <si>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</si>
  <si>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</si>
  <si>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</si>
  <si>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</si>
  <si>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</si>
  <si>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</si>
  <si>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</si>
  <si>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</si>
  <si>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</si>
  <si>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</si>
  <si>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</si>
  <si>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</si>
  <si>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</si>
  <si>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</si>
  <si>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</si>
  <si>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</si>
  <si>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</si>
  <si>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</si>
  <si>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</si>
  <si>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</si>
  <si>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</si>
  <si>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</si>
  <si>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</si>
  <si>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</si>
  <si>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</si>
  <si>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</si>
  <si>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</si>
  <si>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</si>
  <si>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</si>
  <si>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</si>
  <si>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</si>
  <si>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</si>
  <si>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</si>
  <si>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</si>
  <si>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</si>
  <si>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</si>
  <si>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</si>
  <si>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</si>
  <si>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</si>
  <si>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</si>
  <si>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</si>
  <si>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</si>
  <si>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</si>
  <si>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</si>
  <si>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</si>
  <si>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</si>
  <si>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</si>
  <si>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</si>
  <si>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</si>
  <si>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</si>
  <si>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</si>
  <si>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</si>
  <si>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</si>
  <si>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</si>
  <si>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</si>
  <si>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</si>
  <si>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</si>
  <si>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</si>
  <si>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</si>
  <si>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</si>
  <si>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</si>
  <si>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</si>
  <si>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</si>
  <si>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</si>
  <si>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</si>
  <si>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</si>
  <si>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</si>
  <si>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</si>
  <si>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</si>
  <si>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</si>
  <si>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</si>
  <si>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</si>
  <si>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</si>
  <si>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</si>
  <si>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</si>
  <si>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</si>
  <si>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</si>
  <si>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</si>
  <si>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</si>
  <si>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</si>
  <si>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</si>
  <si>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</si>
  <si>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</si>
  <si>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</si>
  <si>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</si>
  <si>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</si>
  <si>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</si>
  <si>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</si>
  <si>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</si>
  <si>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</si>
  <si>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</si>
  <si>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</si>
  <si>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</si>
  <si>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</si>
  <si>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</si>
  <si>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</si>
  <si>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</si>
  <si>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</si>
  <si>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</si>
  <si>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</si>
  <si>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</si>
  <si>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</si>
  <si>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</si>
  <si>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</si>
  <si>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</si>
  <si>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</si>
  <si>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</si>
  <si>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</si>
  <si>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</si>
  <si>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</si>
  <si>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</si>
  <si>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</si>
  <si>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</si>
  <si>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</si>
  <si>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</si>
  <si>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</si>
  <si>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</si>
  <si>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</si>
  <si>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</si>
  <si>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</si>
  <si>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</si>
  <si>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</si>
  <si>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</si>
  <si>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</si>
  <si>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</si>
  <si>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</si>
  <si>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</si>
  <si>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</si>
  <si>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</si>
  <si>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</si>
  <si>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</si>
  <si>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</si>
  <si>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</si>
  <si>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</si>
  <si>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</si>
  <si>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</si>
  <si>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</si>
  <si>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</si>
  <si>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</si>
  <si>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</si>
  <si>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</si>
  <si>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</si>
  <si>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</si>
  <si>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</si>
  <si>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</si>
  <si>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</si>
  <si>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</si>
  <si>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</si>
  <si>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</si>
  <si>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</si>
  <si>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</si>
  <si>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</si>
  <si>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</si>
  <si>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</si>
  <si>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</si>
  <si>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</si>
  <si>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</si>
  <si>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</si>
  <si>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</si>
  <si>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</si>
  <si>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</si>
  <si>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</si>
  <si>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</si>
  <si>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</si>
  <si>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</si>
  <si>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</si>
  <si>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</si>
  <si>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</si>
  <si>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</si>
  <si>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</si>
  <si>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</si>
  <si>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</si>
  <si>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</si>
  <si>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</si>
  <si>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</si>
  <si>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</si>
  <si>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</si>
  <si>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</si>
  <si>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</si>
  <si>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</si>
  <si>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</si>
  <si>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</si>
  <si>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</si>
  <si>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</si>
  <si>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</si>
  <si>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</si>
  <si>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</si>
  <si>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</si>
  <si>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</si>
  <si>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</si>
  <si>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</si>
  <si>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</si>
  <si>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</si>
  <si>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</si>
  <si>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</si>
  <si>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</si>
  <si>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</si>
  <si>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</si>
  <si>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</si>
  <si>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</si>
  <si>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</si>
  <si>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</si>
  <si>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</si>
  <si>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</si>
  <si>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</si>
  <si>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</si>
  <si>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</si>
  <si>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</si>
  <si>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</si>
  <si>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</si>
  <si>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</si>
  <si>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</si>
  <si>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</si>
  <si>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</si>
  <si>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</si>
  <si>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</si>
  <si>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</si>
  <si>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</si>
  <si>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</si>
  <si>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</si>
  <si>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</si>
  <si>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</si>
  <si>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</si>
  <si>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</si>
  <si>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</si>
  <si>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</si>
  <si>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</si>
  <si>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</si>
  <si>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</si>
  <si>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</si>
  <si>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</si>
  <si>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</si>
  <si>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</si>
  <si>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</si>
  <si>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</si>
  <si>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</si>
  <si>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</si>
  <si>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</si>
  <si>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</si>
  <si>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</si>
  <si>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</si>
  <si>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</si>
  <si>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</si>
  <si>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</si>
  <si>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</si>
  <si>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</si>
  <si>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</si>
  <si>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</si>
  <si>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</si>
  <si>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</si>
  <si>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</si>
  <si>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</si>
  <si>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</si>
  <si>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</si>
  <si>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</si>
  <si>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</si>
  <si>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</si>
  <si>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</si>
  <si>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</si>
  <si>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</si>
  <si>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</si>
  <si>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</si>
  <si>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</si>
  <si>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</si>
  <si>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</si>
  <si>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</si>
  <si>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</si>
  <si>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</si>
  <si>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</si>
  <si>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</si>
  <si>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</si>
  <si>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</si>
  <si>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</si>
  <si>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</si>
  <si>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</si>
  <si>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</si>
  <si>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</si>
  <si>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</si>
  <si>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</si>
  <si>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</si>
  <si>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</si>
  <si>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</si>
  <si>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</si>
  <si>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</si>
  <si>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</si>
  <si>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</si>
  <si>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</si>
  <si>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</si>
  <si>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</si>
  <si>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</si>
  <si>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</si>
  <si>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</si>
  <si>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</si>
  <si>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</si>
  <si>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</si>
  <si>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</si>
  <si>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</si>
  <si>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</si>
  <si>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</si>
  <si>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</si>
  <si>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</si>
  <si>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</si>
  <si>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</si>
  <si>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</si>
  <si>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</si>
  <si>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</si>
  <si>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</si>
  <si>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</si>
  <si>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</si>
  <si>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</si>
  <si>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</si>
  <si>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</si>
  <si>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</si>
  <si>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</si>
  <si>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</si>
  <si>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</si>
  <si>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</si>
  <si>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</si>
  <si>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</si>
  <si>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</si>
  <si>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</si>
  <si>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</si>
  <si>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</si>
  <si>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</si>
  <si>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</si>
  <si>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</si>
  <si>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</si>
  <si>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</si>
  <si>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</si>
  <si>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</si>
  <si>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</si>
  <si>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</si>
  <si>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</si>
  <si>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</si>
  <si>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</si>
  <si>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</si>
  <si>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</si>
  <si>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</si>
  <si>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</si>
  <si>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</si>
  <si>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</si>
  <si>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</si>
  <si>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</si>
  <si>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</si>
  <si>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</si>
  <si>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</si>
  <si>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</si>
  <si>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</si>
  <si>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</si>
  <si>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</si>
  <si>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</si>
  <si>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</si>
  <si>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</si>
  <si>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</si>
  <si>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</si>
  <si>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</si>
  <si>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</si>
  <si>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</si>
  <si>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</si>
  <si>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</si>
  <si>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</si>
  <si>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</si>
  <si>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</si>
  <si>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</si>
  <si>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</si>
  <si>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</si>
  <si>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</si>
  <si>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</si>
  <si>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</si>
  <si>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</si>
  <si>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</si>
  <si>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</si>
  <si>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</si>
  <si>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</si>
  <si>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</si>
  <si>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</si>
  <si>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</si>
  <si>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</si>
  <si>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</si>
  <si>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</si>
  <si>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</si>
  <si>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</si>
  <si>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</si>
  <si>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</si>
  <si>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</si>
  <si>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</si>
  <si>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</si>
  <si>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</si>
  <si>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</si>
  <si>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</si>
  <si>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</si>
  <si>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</si>
  <si>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</si>
  <si>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</si>
  <si>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</si>
  <si>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</si>
  <si>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</si>
  <si>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</si>
  <si>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</si>
  <si>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</si>
  <si>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</si>
  <si>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</si>
  <si>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</si>
  <si>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</si>
  <si>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</si>
  <si>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</si>
  <si>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</si>
  <si>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</si>
  <si>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</si>
  <si>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</si>
  <si>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</si>
  <si>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</si>
  <si>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</si>
  <si>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</si>
  <si>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</si>
  <si>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</si>
  <si>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</si>
  <si>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</si>
  <si>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</si>
  <si>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</si>
  <si>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</si>
  <si>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</si>
  <si>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</si>
  <si>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</si>
  <si>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</si>
  <si>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</si>
  <si>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</si>
  <si>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</si>
  <si>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</si>
  <si>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</si>
  <si>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</si>
  <si>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</si>
  <si>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</si>
  <si>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</si>
  <si>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</si>
  <si>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</si>
  <si>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</si>
  <si>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</si>
  <si>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</si>
  <si>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</si>
  <si>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</si>
  <si>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</si>
  <si>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</si>
  <si>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</si>
  <si>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</si>
  <si>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</si>
  <si>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</si>
  <si>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</si>
  <si>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</si>
  <si>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</si>
  <si>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</si>
  <si>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</si>
  <si>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</si>
  <si>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</si>
  <si>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</si>
  <si>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</si>
  <si>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</si>
  <si>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</si>
  <si>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</si>
  <si>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</si>
  <si>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</si>
  <si>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</si>
  <si>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</si>
  <si>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</si>
  <si>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</si>
  <si>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</si>
  <si>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</si>
  <si>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</si>
  <si>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</si>
  <si>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</si>
  <si>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</si>
  <si>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</si>
  <si>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</si>
  <si>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</si>
  <si>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</si>
  <si>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</si>
  <si>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</si>
  <si>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</si>
  <si>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</si>
  <si>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</si>
  <si>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</si>
  <si>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</si>
  <si>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</si>
  <si>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</si>
  <si>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</si>
  <si>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</si>
  <si>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</si>
  <si>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</si>
  <si>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</si>
  <si>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</si>
  <si>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</si>
  <si>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</si>
  <si>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</si>
  <si>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</si>
  <si>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</si>
  <si>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</si>
  <si>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</si>
  <si>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</si>
  <si>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</si>
  <si>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</si>
  <si>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</si>
  <si>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</si>
  <si>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</si>
  <si>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</si>
  <si>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</si>
  <si>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</si>
  <si>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</si>
  <si>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</si>
  <si>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</si>
  <si>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</si>
  <si>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</si>
  <si>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</si>
  <si>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</si>
  <si>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</si>
  <si>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</si>
  <si>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</si>
  <si>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</si>
  <si>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</si>
  <si>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</si>
  <si>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</si>
  <si>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</si>
  <si>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</si>
  <si>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</si>
  <si>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</si>
  <si>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</si>
  <si>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</si>
  <si>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</si>
  <si>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</si>
  <si>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</si>
  <si>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</si>
  <si>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</si>
  <si>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</si>
  <si>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</si>
  <si>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</si>
  <si>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</si>
  <si>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</si>
  <si>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</si>
  <si>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</si>
  <si>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</si>
  <si>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</si>
  <si>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</si>
  <si>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</si>
  <si>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</si>
  <si>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</si>
  <si>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</si>
  <si>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</si>
  <si>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</si>
  <si>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</si>
  <si>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</si>
  <si>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</si>
  <si>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</si>
  <si>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</si>
  <si>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</si>
  <si>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</si>
  <si>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</si>
  <si>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</si>
  <si>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</si>
  <si>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</si>
  <si>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</si>
  <si>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</si>
  <si>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</si>
  <si>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</si>
  <si>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</si>
  <si>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</si>
  <si>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</si>
  <si>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</si>
  <si>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</si>
  <si>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</si>
  <si>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</si>
  <si>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</si>
  <si>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</si>
  <si>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</si>
  <si>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</si>
  <si>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</si>
  <si>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</si>
  <si>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</si>
  <si>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</si>
  <si>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</si>
  <si>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</si>
  <si>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</si>
  <si>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</si>
  <si>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</si>
  <si>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</si>
  <si>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</si>
  <si>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</si>
  <si>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</si>
  <si>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</si>
  <si>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</si>
  <si>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</si>
  <si>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</si>
  <si>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</si>
  <si>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</si>
  <si>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</si>
  <si>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</si>
  <si>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</si>
  <si>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</si>
  <si>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</si>
  <si>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</si>
  <si>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</si>
  <si>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</si>
  <si>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</si>
  <si>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</si>
  <si>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</si>
  <si>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</si>
  <si>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</si>
  <si>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</si>
  <si>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</si>
  <si>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</si>
  <si>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</si>
  <si>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</si>
  <si>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</si>
  <si>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</si>
  <si>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</si>
  <si>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</si>
  <si>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</si>
  <si>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</si>
  <si>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</si>
  <si>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</si>
  <si>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</si>
  <si>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</si>
  <si>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</si>
  <si>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</si>
  <si>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</si>
  <si>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</si>
  <si>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</si>
  <si>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</si>
  <si>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</si>
  <si>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</si>
  <si>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</si>
  <si>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</si>
  <si>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</si>
  <si>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</si>
  <si>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</si>
  <si>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</si>
  <si>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</si>
  <si>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</si>
  <si>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</si>
  <si>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</si>
  <si>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</si>
  <si>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</si>
  <si>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</si>
  <si>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</si>
  <si>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</si>
  <si>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</si>
  <si>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</si>
  <si>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</si>
  <si>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</si>
  <si>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</si>
  <si>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</si>
  <si>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</si>
  <si>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</si>
  <si>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</si>
  <si>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</si>
  <si>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</si>
  <si>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</si>
  <si>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</si>
  <si>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</si>
  <si>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</si>
  <si>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</si>
  <si>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</si>
  <si>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</si>
  <si>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</si>
  <si>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</si>
  <si>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</si>
  <si>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</si>
  <si>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</si>
  <si>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</si>
  <si>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</si>
  <si>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</si>
  <si>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</si>
  <si>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</si>
  <si>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</si>
  <si>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</si>
  <si>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</si>
  <si>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</si>
  <si>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</si>
  <si>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</si>
  <si>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</si>
  <si>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</si>
  <si>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</si>
  <si>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</si>
  <si>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</si>
  <si>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</si>
  <si>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</si>
  <si>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</si>
  <si>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</si>
  <si>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</si>
  <si>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</si>
  <si>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</si>
  <si>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</si>
  <si>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</si>
  <si>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</si>
  <si>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</si>
  <si>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</si>
  <si>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</si>
  <si>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</si>
  <si>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</si>
  <si>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</si>
  <si>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</si>
  <si>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</si>
  <si>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</si>
  <si>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</si>
  <si>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</si>
  <si>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</si>
  <si>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</si>
  <si>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</si>
  <si>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</si>
  <si>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</si>
  <si>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</si>
  <si>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</si>
  <si>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</si>
  <si>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</si>
  <si>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</si>
  <si>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</si>
  <si>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</si>
  <si>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</si>
  <si>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</si>
  <si>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</si>
  <si>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</si>
  <si>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</si>
  <si>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</si>
  <si>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</si>
  <si>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</si>
  <si>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</si>
  <si>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</si>
  <si>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</si>
  <si>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</si>
  <si>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</si>
  <si>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</si>
  <si>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</si>
  <si>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</si>
  <si>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</si>
  <si>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</si>
  <si>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</si>
  <si>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</si>
  <si>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</si>
  <si>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</si>
  <si>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</si>
  <si>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</si>
  <si>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</si>
  <si>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</si>
  <si>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</si>
  <si>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</si>
  <si>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</si>
  <si>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</si>
  <si>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</si>
  <si>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</si>
  <si>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</si>
  <si>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</si>
  <si>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</si>
  <si>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</si>
  <si>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</si>
  <si>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</si>
  <si>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</si>
  <si>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</si>
  <si>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</si>
  <si>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</si>
  <si>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</si>
  <si>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</si>
  <si>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</si>
  <si>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</si>
  <si>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</si>
  <si>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</si>
  <si>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</si>
  <si>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</si>
  <si>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</si>
  <si>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</si>
  <si>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</si>
  <si>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</si>
  <si>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</si>
  <si>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</si>
  <si>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</si>
  <si>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</si>
  <si>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</si>
  <si>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</si>
  <si>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</si>
  <si>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</si>
  <si>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</si>
  <si>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</si>
  <si>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</si>
  <si>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</si>
  <si>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</si>
  <si>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</si>
  <si>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</si>
  <si>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</si>
  <si>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</si>
  <si>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</si>
  <si>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</si>
  <si>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</si>
  <si>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</si>
  <si>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</si>
  <si>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</si>
  <si>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</si>
  <si>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</si>
  <si>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</si>
  <si>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</si>
  <si>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</si>
  <si>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</si>
  <si>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</si>
  <si>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</si>
  <si>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</si>
  <si>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</si>
  <si>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</si>
  <si>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</si>
  <si>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</si>
  <si>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</si>
  <si>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</si>
  <si>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</si>
  <si>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</si>
  <si>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</si>
  <si>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</si>
  <si>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</si>
  <si>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</si>
  <si>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</si>
  <si>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</si>
  <si>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</si>
  <si>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</si>
  <si>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</si>
  <si>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</si>
  <si>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</si>
  <si>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</si>
  <si>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</si>
  <si>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</si>
  <si>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</si>
  <si>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</si>
  <si>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</si>
  <si>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</si>
  <si>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</si>
  <si>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</si>
  <si>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</si>
  <si>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</si>
  <si>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</si>
  <si>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</si>
  <si>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</si>
  <si>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</si>
  <si>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</si>
  <si>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</si>
  <si>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</si>
  <si>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</si>
  <si>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</si>
  <si>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</si>
  <si>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</si>
  <si>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</si>
  <si>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</si>
  <si>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</si>
  <si>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</si>
  <si>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</si>
  <si>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</si>
  <si>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</si>
  <si>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</si>
  <si>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</si>
  <si>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</si>
  <si>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</si>
  <si>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</si>
  <si>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</si>
  <si>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</si>
  <si>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</si>
  <si>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</si>
  <si>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</si>
  <si>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</si>
  <si>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</si>
  <si>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</si>
  <si>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</si>
  <si>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</si>
  <si>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</si>
  <si>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</si>
  <si>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</si>
  <si>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</si>
  <si>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</si>
  <si>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</si>
  <si>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</si>
  <si>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</si>
  <si>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</si>
  <si>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</si>
  <si>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</si>
  <si>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</si>
  <si>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</si>
  <si>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</si>
  <si>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</si>
  <si>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</si>
  <si>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</si>
  <si>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</si>
  <si>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</si>
  <si>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</si>
  <si>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</si>
  <si>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</si>
  <si>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</si>
  <si>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</si>
  <si>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</si>
  <si>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</si>
  <si>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</si>
  <si>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</si>
  <si>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</si>
  <si>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</si>
  <si>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</si>
  <si>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</si>
  <si>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</si>
  <si>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</si>
  <si>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</si>
  <si>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</si>
  <si>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</si>
  <si>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</si>
  <si>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</si>
  <si>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</si>
  <si>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</si>
  <si>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</si>
  <si>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</si>
  <si>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</si>
  <si>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</si>
  <si>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</si>
  <si>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</si>
  <si>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</si>
  <si>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</si>
  <si>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</si>
  <si>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</si>
  <si>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</si>
  <si>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</si>
  <si>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</si>
  <si>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</si>
  <si>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</si>
  <si>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</si>
  <si>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</si>
  <si>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</si>
  <si>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</si>
  <si>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</si>
  <si>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</si>
  <si>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</si>
  <si>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</si>
  <si>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</si>
  <si>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</si>
  <si>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</si>
  <si>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</si>
  <si>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</si>
  <si>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</si>
  <si>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</si>
  <si>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</si>
  <si>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</si>
  <si>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</si>
  <si>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</si>
  <si>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</si>
  <si>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</si>
  <si>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</si>
  <si>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</si>
  <si>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</si>
  <si>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</si>
  <si>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</si>
  <si>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</si>
  <si>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</si>
  <si>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</si>
  <si>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</si>
  <si>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</si>
  <si>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</si>
  <si>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</si>
  <si>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</si>
  <si>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</si>
  <si>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</si>
  <si>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</si>
  <si>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</si>
  <si>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</si>
  <si>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</si>
  <si>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</si>
  <si>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</si>
  <si>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</si>
  <si>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</si>
  <si>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</si>
  <si>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</si>
  <si>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</si>
  <si>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</si>
  <si>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</si>
  <si>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</si>
  <si>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</si>
  <si>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</si>
  <si>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</si>
  <si>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</si>
  <si>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</si>
  <si>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</si>
  <si>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</si>
  <si>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</si>
  <si>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</si>
  <si>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</si>
  <si>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</si>
  <si>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</si>
  <si>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</si>
  <si>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</si>
  <si>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</si>
  <si>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</si>
  <si>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</si>
  <si>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</si>
  <si>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</si>
  <si>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</si>
  <si>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</si>
  <si>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</si>
  <si>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</si>
  <si>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</si>
  <si>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</si>
  <si>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</si>
  <si>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</si>
  <si>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</si>
  <si>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</si>
  <si>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</si>
  <si>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</si>
  <si>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</si>
  <si>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</si>
  <si>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</si>
  <si>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</si>
  <si>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</si>
  <si>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</si>
  <si>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</si>
  <si>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</si>
  <si>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</si>
  <si>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</si>
  <si>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</si>
  <si>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</si>
  <si>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</si>
  <si>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</si>
  <si>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</si>
  <si>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</si>
  <si>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</si>
  <si>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</si>
  <si>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</si>
  <si>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</si>
  <si>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</si>
  <si>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</si>
  <si>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</si>
  <si>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</si>
  <si>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</si>
  <si>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</si>
  <si>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</si>
  <si>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</si>
  <si>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</si>
  <si>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</si>
  <si>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</si>
  <si>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</si>
  <si>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</si>
  <si>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</si>
  <si>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</si>
  <si>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</si>
  <si>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</si>
  <si>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</si>
  <si>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</si>
  <si>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</si>
  <si>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</si>
  <si>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</si>
  <si>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</si>
  <si>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</si>
  <si>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</si>
  <si>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</si>
  <si>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</si>
  <si>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</si>
  <si>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</si>
  <si>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</si>
  <si>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</si>
  <si>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</si>
  <si>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</si>
  <si>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</si>
  <si>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</si>
  <si>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</si>
  <si>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</si>
  <si>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</si>
  <si>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</si>
  <si>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</si>
  <si>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</si>
  <si>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</si>
  <si>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</si>
  <si>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</si>
  <si>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</si>
  <si>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</si>
  <si>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</si>
  <si>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</si>
  <si>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</si>
  <si>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</si>
  <si>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</si>
  <si>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</si>
  <si>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</si>
  <si>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</si>
  <si>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</si>
  <si>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</si>
  <si>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</si>
  <si>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</si>
  <si>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</si>
  <si>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</si>
  <si>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</si>
  <si>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</si>
  <si>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</si>
  <si>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</si>
  <si>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</si>
  <si>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</si>
  <si>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</si>
  <si>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</si>
  <si>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</si>
  <si>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</si>
  <si>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</si>
  <si>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</si>
  <si>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</si>
  <si>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</si>
  <si>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</si>
  <si>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</si>
  <si>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</si>
  <si>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</si>
  <si>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</si>
  <si>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</si>
  <si>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</si>
  <si>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</si>
  <si>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</si>
  <si>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</si>
  <si>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</si>
  <si>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</si>
  <si>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</si>
  <si>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</si>
  <si>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</si>
  <si>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</si>
  <si>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</si>
  <si>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</si>
  <si>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</si>
  <si>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</si>
  <si>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</si>
  <si>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</si>
  <si>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</si>
  <si>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</si>
  <si>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</si>
  <si>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</si>
  <si>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</si>
  <si>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</si>
  <si>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</si>
  <si>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</si>
  <si>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</si>
  <si>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</si>
  <si>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</si>
  <si>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</si>
  <si>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</si>
  <si>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</si>
  <si>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</si>
  <si>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</si>
  <si>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</si>
  <si>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</si>
  <si>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</si>
  <si>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</si>
  <si>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</si>
  <si>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</si>
  <si>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</si>
  <si>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</si>
  <si>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</si>
  <si>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</si>
  <si>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</si>
  <si>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</si>
  <si>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</si>
  <si>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</si>
  <si>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</si>
  <si>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</si>
  <si>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</si>
  <si>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</si>
  <si>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</si>
  <si>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</si>
  <si>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</si>
  <si>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</si>
  <si>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</si>
  <si>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</si>
  <si>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</si>
  <si>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</si>
  <si>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</si>
  <si>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GREENE</t>
  </si>
  <si>
    <t>311 MULBERRY ST</t>
  </si>
  <si>
    <t>GREENFIELD</t>
  </si>
  <si>
    <t>rbauer@greenfield schools.org</t>
  </si>
  <si>
    <t>X</t>
  </si>
  <si>
    <t>SCHEFFEL BOYLE</t>
  </si>
  <si>
    <t>DANNY PHIPPS, CPA</t>
  </si>
  <si>
    <t>106 WEST COUNTY ROAD</t>
  </si>
  <si>
    <t>JERSEYVILLE</t>
  </si>
  <si>
    <t>IL</t>
  </si>
  <si>
    <t>618-498-6841</t>
  </si>
  <si>
    <t>618-498-6842</t>
  </si>
  <si>
    <t>065.040574</t>
  </si>
  <si>
    <t>danny.phipps@scheffelboyle.com</t>
  </si>
  <si>
    <t>KEVIN BOWMAN</t>
  </si>
  <si>
    <t>kbowman@greenfieldschools.org</t>
  </si>
  <si>
    <t>217-368-2447</t>
  </si>
  <si>
    <t>217-368-2724</t>
  </si>
  <si>
    <t>Series 2016 Taxable General Obligation School Bonds</t>
  </si>
  <si>
    <t>Series 2017 General Obligation School Bonds</t>
  </si>
  <si>
    <t>Alternate Revenue Source</t>
  </si>
  <si>
    <t>None</t>
  </si>
  <si>
    <t>x</t>
  </si>
  <si>
    <t>ROE 40 (with other districts)</t>
  </si>
  <si>
    <t>ROE with SAFE School</t>
  </si>
  <si>
    <t>The Purchasing Cooperative (TPC)</t>
  </si>
  <si>
    <t>Prairie State Insurance Cooperative</t>
  </si>
  <si>
    <t>Member of the IASA Job Bank</t>
  </si>
  <si>
    <t>ROE 40 Staff Development Association</t>
  </si>
  <si>
    <t>Shared Speech Pathologist with Carrollton CUSD</t>
  </si>
  <si>
    <t>Four Rivers Special Education</t>
  </si>
  <si>
    <t>Masli-3 Grant with SIUE, Carrollton CUSD, and Calhoun CUSD</t>
  </si>
  <si>
    <t>Paper purchase with Southwestern CUSD</t>
  </si>
  <si>
    <t>Share extra-curricular trips with Palmyra Northwestern</t>
  </si>
  <si>
    <t>Share IT Teacher with Palmyra Northwestern</t>
  </si>
  <si>
    <t>HS &amp; JH Sports Cooperative with Palmyra Northwestern</t>
  </si>
  <si>
    <t>Share Superintendent with Palmyra Northwestern</t>
  </si>
  <si>
    <t>In addition to the financial statements being prepared on the regulatory, cash basis of accounting, the District has omitted disclosures required by GASB 54.</t>
  </si>
  <si>
    <t>Scheffel Boyle</t>
  </si>
  <si>
    <t>Unknown</t>
  </si>
  <si>
    <t>Financial statement preparation</t>
  </si>
  <si>
    <t>The District does not have the personnel or staff with sufficient training or expertise to ensure the District's annual financial statemetns are prepared in accordance with regulatory provisions prescribed by the Illinois State Board of Education and include all required disclosures.</t>
  </si>
  <si>
    <t>Without relying on Scheffel Boyle for assistance, it is possible the financial statements would be materially misstated or missing required disclosures.</t>
  </si>
  <si>
    <t>The District does not have the personnel or staff with sufficient training or expertise.</t>
  </si>
  <si>
    <t>The District should provide training to its current accounting staff or hire additional resources to allow for proper internal preparation of the finanacial statements.</t>
  </si>
  <si>
    <t>The District believes their accounting staff maintains adequate books and records of the school's transactions.  Additionally, the District does not believe it is cost beneficial to hire additional accounting expertise to ensure the District's annual financial statements are prepare in accordance with the regulatory provisions discussed above.</t>
  </si>
  <si>
    <t>2018-001</t>
  </si>
  <si>
    <t>See 2019-001</t>
  </si>
  <si>
    <t>The District relies on auditors to assist with financial statement preparation.</t>
  </si>
  <si>
    <t>financial statement preparation.</t>
  </si>
  <si>
    <t>The District relies on auditors to assist with</t>
  </si>
  <si>
    <t>2018-002</t>
  </si>
  <si>
    <t>The District's fund disbursements exceeded</t>
  </si>
  <si>
    <t>its budgetary amounts in several funds.</t>
  </si>
  <si>
    <t>See 2019-002</t>
  </si>
  <si>
    <t>Compliance finding - Expenditures in excess of budgeted amounts</t>
  </si>
  <si>
    <t>The District's fund disbursements exceeded its budgetary amounts in several funds.</t>
  </si>
  <si>
    <t>Unauthorized expenditures</t>
  </si>
  <si>
    <t>The District did not amend their budget to better represent their actual expenditures.</t>
  </si>
  <si>
    <t>The District should amend its annual budget to provide for proper approval of expenditures in all funds.</t>
  </si>
  <si>
    <t>Specifically, actual expenditures exceeded the approved budgets by the following amounts:  O&amp;M Fund by $14,935, Municipal Retirement/SS Fund by $4,394, Capital Projects Fund by $128,454, Tort Fund by $5,355, and Fire Prevention &amp; Safety Fund by $6,308,</t>
  </si>
  <si>
    <t>The District will consider amending budgets as necessary goingforward.</t>
  </si>
  <si>
    <t>Compliance finding - Incorrrect eligibility determination</t>
  </si>
  <si>
    <t>The District made a clerical error reviewing the application selected for verfication under the National School Lunch program.</t>
  </si>
  <si>
    <t>The family was incorrectly considered eligible for "reduced" status and, therefore, the District would have been overpaid for the breakfasts and lunches under the National School Breakfast/Lunch program.</t>
  </si>
  <si>
    <t>The District did not realize they should be including overtime wages that are reoccurring and significant compared to the regular wages in the overall annual household compensation.</t>
  </si>
  <si>
    <t>In our opinion, the overtime wages appeared to be reoccuring and significant compared to the regular wages and should have been factored into the overall annual household compensation.  Based on this, the family should have been denied "reduced" status and moved to "full-pay" status.</t>
  </si>
  <si>
    <t>We recommend that the District have a second school official review the verification process supporting workpapers for accuracy and compliance.</t>
  </si>
  <si>
    <t>We will now included overtime wages that are reoccuring and significant compared to the regular waages in the overall annual household compensation.  We will also have a second school offical review the verification process supporting workpapers for accuracy and compliance.</t>
  </si>
  <si>
    <t>Page 7, Line 43, Other Sources Not Classifed Elsewhere (7990)</t>
  </si>
  <si>
    <t>Page 8, Line 75, Other Uses Not Classified Elsewhere (8990)</t>
  </si>
  <si>
    <t>Page 10, Line 74, Other Food Services (1690)</t>
  </si>
  <si>
    <t>Education - Juice sales $1,649</t>
  </si>
  <si>
    <t>Education - Entry fees $536</t>
  </si>
  <si>
    <t>Education - Course fees $4,929</t>
  </si>
  <si>
    <t>O&amp;M - Student parking $1,300</t>
  </si>
  <si>
    <t>Page 11, Line 106, Other Local Fees (1993)</t>
  </si>
  <si>
    <t>Page 10, Line 87, Rentals - Other (1819)</t>
  </si>
  <si>
    <t>Page 10, Line 78, Admissions - Other (1719)</t>
  </si>
  <si>
    <t>Page 11, Line 107, Other Local Revenues (1999)</t>
  </si>
  <si>
    <t>Page 12, Line 168, Other Restricted Revenue from State Sources (3999)</t>
  </si>
  <si>
    <t>Page 14, Line 265, Other Restricted Revenue from Federal Sources (4999)</t>
  </si>
  <si>
    <t>Education - REAP grant $25,094</t>
  </si>
  <si>
    <t>Page 16, Line 83, Other Payments to In-State Govt. Units (4190)</t>
  </si>
  <si>
    <t>Audit Checklist - There were no contracts for indirect cost rate computation.</t>
  </si>
  <si>
    <t>Education - Reimburse salary $21,164</t>
  </si>
  <si>
    <t>Education - Erate payment $7,247</t>
  </si>
  <si>
    <t>Education - Monsanto Ag grant $10,000</t>
  </si>
  <si>
    <t>Education - Donation $9,335</t>
  </si>
  <si>
    <t>Education - Miscellaneous $11,222</t>
  </si>
  <si>
    <t>O&amp;M - Donation $1,500</t>
  </si>
  <si>
    <t>O&amp;M - Miscellaneous $930</t>
  </si>
  <si>
    <t>Transportation - Insurance proceeds $509</t>
  </si>
  <si>
    <t>Education - Library grant $750</t>
  </si>
  <si>
    <t>Educatin - Other state program $737</t>
  </si>
  <si>
    <t>O&amp;M - ISBE Broadband grant $6,919</t>
  </si>
  <si>
    <t>Education - Purchased Services - Miscellaneous $87</t>
  </si>
  <si>
    <t>Debt Services - Transfer from Capital Projects for Alternate Revenue Source Bonds $70,912</t>
  </si>
  <si>
    <t>Capital Projects - Transfer to Debt Service for Alternate Revenue Source Bonds $70,912</t>
  </si>
  <si>
    <t>Greenfield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</si>
</sst>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53" fillId="0" borderId="0" xfId="3" applyFont="1" applyAlignment="1" applyProtection="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138546</xdr:colOff>
          <xdr:row>1</xdr:row>
          <xdr:rowOff>86591</xdr:rowOff>
        </xdr:from>
        <xdr:to>
          <xdr:col>1</xdr:col>
          <xdr:colOff>1050348</xdr:colOff>
          <xdr:row>6</xdr:row>
          <xdr:rowOff>45894</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1ECA42B7-D637-428B-80DC-24334CCCAA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1255569</xdr:colOff>
          <xdr:row>1</xdr:row>
          <xdr:rowOff>60614</xdr:rowOff>
        </xdr:from>
        <xdr:to>
          <xdr:col>1</xdr:col>
          <xdr:colOff>2167371</xdr:colOff>
          <xdr:row>6</xdr:row>
          <xdr:rowOff>19917</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48A4C597-297E-4D78-8917-B5A459C2D08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147205</xdr:colOff>
          <xdr:row>6</xdr:row>
          <xdr:rowOff>86591</xdr:rowOff>
        </xdr:from>
        <xdr:to>
          <xdr:col>1</xdr:col>
          <xdr:colOff>1059007</xdr:colOff>
          <xdr:row>11</xdr:row>
          <xdr:rowOff>45893</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1DC5740F-A6DE-43DF-A1EA-7530962297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1220932</xdr:colOff>
          <xdr:row>6</xdr:row>
          <xdr:rowOff>95250</xdr:rowOff>
        </xdr:from>
        <xdr:to>
          <xdr:col>1</xdr:col>
          <xdr:colOff>2132734</xdr:colOff>
          <xdr:row>11</xdr:row>
          <xdr:rowOff>54552</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6E58DA6-D1D6-4BD3-9D88-B74DF4FE41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2068</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2068</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40031010026</v>
      </c>
      <c r="B13" s="2017"/>
      <c r="C13" s="2017"/>
      <c r="D13" s="2017"/>
      <c r="E13" s="2017"/>
      <c r="F13" s="2017"/>
      <c r="G13" s="2017"/>
      <c r="H13" s="2018"/>
      <c r="I13" s="31"/>
      <c r="J13" s="30"/>
      <c r="K13" s="28"/>
      <c r="L13" s="30"/>
      <c r="M13" s="30"/>
      <c r="N13" s="30"/>
      <c r="O13" s="30"/>
      <c r="P13" s="30"/>
      <c r="Q13" s="30"/>
      <c r="R13" s="30"/>
      <c r="S13" s="30"/>
      <c r="T13" s="2021" t="s">
        <v>2069</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2064</v>
      </c>
      <c r="B15" s="2019"/>
      <c r="C15" s="2019"/>
      <c r="D15" s="2019"/>
      <c r="E15" s="2019"/>
      <c r="F15" s="2019"/>
      <c r="G15" s="2019"/>
      <c r="H15" s="2020"/>
      <c r="T15" s="2025" t="s">
        <v>2070</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2163</v>
      </c>
      <c r="B17" s="1976"/>
      <c r="C17" s="1976"/>
      <c r="D17" s="1976"/>
      <c r="E17" s="1976"/>
      <c r="F17" s="1976"/>
      <c r="G17" s="1976"/>
      <c r="H17" s="2001"/>
      <c r="T17" s="2032" t="s">
        <v>2071</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2065</v>
      </c>
      <c r="B19" s="1961"/>
      <c r="C19" s="1961"/>
      <c r="D19" s="1961"/>
      <c r="E19" s="1961"/>
      <c r="F19" s="1961"/>
      <c r="G19" s="1961"/>
      <c r="H19" s="1941"/>
      <c r="I19" s="30"/>
      <c r="J19" s="99"/>
      <c r="K19" s="40"/>
      <c r="L19" s="38"/>
      <c r="M19" s="112" t="s">
        <v>315</v>
      </c>
      <c r="P19" s="27"/>
      <c r="Q19" s="27"/>
      <c r="R19" s="27"/>
      <c r="S19" s="31"/>
      <c r="T19" s="2015" t="s">
        <v>2072</v>
      </c>
      <c r="U19" s="1940"/>
      <c r="V19" s="1940"/>
      <c r="W19" s="1941"/>
      <c r="X19" s="2030" t="s">
        <v>2073</v>
      </c>
      <c r="Y19" s="2031"/>
      <c r="Z19" s="2028">
        <v>62052</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2066</v>
      </c>
      <c r="B21" s="1940"/>
      <c r="C21" s="1940"/>
      <c r="D21" s="1940"/>
      <c r="E21" s="1940"/>
      <c r="F21" s="1940"/>
      <c r="G21" s="1940"/>
      <c r="H21" s="1941"/>
      <c r="I21" s="1995" t="s">
        <v>678</v>
      </c>
      <c r="J21" s="1990"/>
      <c r="K21" s="1990"/>
      <c r="L21" s="1990"/>
      <c r="M21" s="1990"/>
      <c r="N21" s="1990"/>
      <c r="O21" s="1990"/>
      <c r="P21" s="1990"/>
      <c r="Q21" s="1990"/>
      <c r="R21" s="1990"/>
      <c r="S21" s="1996"/>
      <c r="T21" s="2040" t="s">
        <v>2074</v>
      </c>
      <c r="U21" s="2041"/>
      <c r="V21" s="2041"/>
      <c r="W21" s="2041"/>
      <c r="X21" s="2046" t="s">
        <v>2075</v>
      </c>
      <c r="Y21" s="2047"/>
      <c r="Z21" s="2047"/>
      <c r="AA21" s="2048"/>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2067</v>
      </c>
      <c r="B23" s="1993"/>
      <c r="C23" s="1993"/>
      <c r="D23" s="1993"/>
      <c r="E23" s="1993"/>
      <c r="F23" s="1993"/>
      <c r="G23" s="1993"/>
      <c r="H23" s="1994"/>
      <c r="T23" s="2038" t="s">
        <v>2076</v>
      </c>
      <c r="U23" s="2039"/>
      <c r="V23" s="2039"/>
      <c r="W23" s="2039"/>
      <c r="X23" s="2043">
        <v>44469</v>
      </c>
      <c r="Y23" s="2044"/>
      <c r="Z23" s="2044"/>
      <c r="AA23" s="2045"/>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62044</v>
      </c>
      <c r="B25" s="1940"/>
      <c r="C25" s="1940"/>
      <c r="D25" s="1940"/>
      <c r="E25" s="1940"/>
      <c r="F25" s="1940"/>
      <c r="G25" s="1940"/>
      <c r="H25" s="1941"/>
      <c r="I25" s="113"/>
      <c r="J25" s="1964"/>
      <c r="K25" s="1964"/>
      <c r="L25" s="1964"/>
      <c r="M25" s="1964"/>
      <c r="N25" s="1964"/>
      <c r="O25" s="1964"/>
      <c r="P25" s="1964"/>
      <c r="Q25" s="1964"/>
      <c r="R25" s="1964"/>
      <c r="S25" s="1965"/>
      <c r="T25" s="2035" t="s">
        <v>2077</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2078</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2079</v>
      </c>
      <c r="B40" s="1954"/>
      <c r="C40" s="1955"/>
      <c r="D40" s="1955"/>
      <c r="E40" s="1955"/>
      <c r="F40" s="1956"/>
      <c r="G40" s="1956"/>
      <c r="H40" s="1957"/>
      <c r="I40" s="1978"/>
      <c r="J40" s="1979"/>
      <c r="K40" s="1979"/>
      <c r="L40" s="1979"/>
      <c r="M40" s="1979"/>
      <c r="N40" s="1979"/>
      <c r="O40" s="1979"/>
      <c r="P40" s="1979"/>
      <c r="Q40" s="1979"/>
      <c r="R40" s="1979"/>
      <c r="S40" s="1980"/>
      <c r="T40" s="1978"/>
      <c r="U40" s="2042"/>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differentOddEven="1" scaleWithDoc="0">
    <oddFooter>&amp;LSee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14" colorId="8" zoomScaleNormal="110" workbookViewId="0">
      <selection activeCell="D29" sqref="D28:D2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1802822</v>
      </c>
      <c r="C4" s="1524"/>
      <c r="D4" s="1752">
        <f>B4-C4</f>
        <v>1802822</v>
      </c>
      <c r="E4" s="1524">
        <v>1824307</v>
      </c>
      <c r="F4" s="1752">
        <f>E4-C4</f>
        <v>1824307</v>
      </c>
    </row>
    <row r="5" spans="1:6" ht="13.7" customHeight="1" x14ac:dyDescent="0.2">
      <c r="A5" s="715" t="s">
        <v>870</v>
      </c>
      <c r="B5" s="1750">
        <f>'Revenues 9-14'!D5</f>
        <v>348401</v>
      </c>
      <c r="C5" s="585"/>
      <c r="D5" s="1753">
        <f t="shared" ref="D5:D18" si="0">B5-C5</f>
        <v>348401</v>
      </c>
      <c r="E5" s="585">
        <v>354929</v>
      </c>
      <c r="F5" s="1753">
        <f>E5-C5</f>
        <v>354929</v>
      </c>
    </row>
    <row r="6" spans="1:6" ht="13.7" customHeight="1" x14ac:dyDescent="0.2">
      <c r="A6" s="715" t="s">
        <v>411</v>
      </c>
      <c r="B6" s="1750">
        <f>'Revenues 9-14'!E5</f>
        <v>110028</v>
      </c>
      <c r="C6" s="585"/>
      <c r="D6" s="1753">
        <f t="shared" si="0"/>
        <v>110028</v>
      </c>
      <c r="E6" s="585">
        <v>112051</v>
      </c>
      <c r="F6" s="1753">
        <f t="shared" ref="F6:F18" si="1">E6-C6</f>
        <v>112051</v>
      </c>
    </row>
    <row r="7" spans="1:6" ht="13.7" customHeight="1" x14ac:dyDescent="0.2">
      <c r="A7" s="715" t="s">
        <v>155</v>
      </c>
      <c r="B7" s="1750">
        <f>'Revenues 9-14'!F5</f>
        <v>159428</v>
      </c>
      <c r="C7" s="585"/>
      <c r="D7" s="1753">
        <f t="shared" si="0"/>
        <v>159428</v>
      </c>
      <c r="E7" s="585">
        <v>241555</v>
      </c>
      <c r="F7" s="1753">
        <f t="shared" si="1"/>
        <v>241555</v>
      </c>
    </row>
    <row r="8" spans="1:6" ht="13.7" customHeight="1" x14ac:dyDescent="0.2">
      <c r="A8" s="715" t="s">
        <v>1179</v>
      </c>
      <c r="B8" s="1750">
        <f>'Revenues 9-14'!G5</f>
        <v>76873</v>
      </c>
      <c r="C8" s="585"/>
      <c r="D8" s="1753">
        <f t="shared" si="0"/>
        <v>76873</v>
      </c>
      <c r="E8" s="585">
        <v>58753</v>
      </c>
      <c r="F8" s="1753">
        <f t="shared" si="1"/>
        <v>58753</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27691</v>
      </c>
      <c r="C10" s="585"/>
      <c r="D10" s="1753">
        <f t="shared" si="0"/>
        <v>27691</v>
      </c>
      <c r="E10" s="585">
        <v>29048</v>
      </c>
      <c r="F10" s="1753">
        <f t="shared" si="1"/>
        <v>29048</v>
      </c>
    </row>
    <row r="11" spans="1:6" x14ac:dyDescent="0.2">
      <c r="A11" s="715" t="s">
        <v>409</v>
      </c>
      <c r="B11" s="1750">
        <f>'Revenues 9-14'!J5</f>
        <v>114909</v>
      </c>
      <c r="C11" s="585"/>
      <c r="D11" s="1753">
        <f t="shared" si="0"/>
        <v>114909</v>
      </c>
      <c r="E11" s="585">
        <v>117060</v>
      </c>
      <c r="F11" s="1753">
        <f t="shared" si="1"/>
        <v>117060</v>
      </c>
    </row>
    <row r="12" spans="1:6" ht="13.7" customHeight="1" x14ac:dyDescent="0.2">
      <c r="A12" s="715" t="s">
        <v>157</v>
      </c>
      <c r="B12" s="1750">
        <f>'Revenues 9-14'!K5</f>
        <v>28064</v>
      </c>
      <c r="C12" s="585"/>
      <c r="D12" s="1753">
        <f t="shared" si="0"/>
        <v>28064</v>
      </c>
      <c r="E12" s="585">
        <v>29048</v>
      </c>
      <c r="F12" s="1753">
        <f t="shared" si="1"/>
        <v>29048</v>
      </c>
    </row>
    <row r="13" spans="1:6" ht="13.7" customHeight="1" x14ac:dyDescent="0.2">
      <c r="A13" s="715" t="s">
        <v>936</v>
      </c>
      <c r="B13" s="1750">
        <f>SUM('Revenues 9-14'!C6:D6)</f>
        <v>28042</v>
      </c>
      <c r="C13" s="585"/>
      <c r="D13" s="1753">
        <f t="shared" si="0"/>
        <v>28042</v>
      </c>
      <c r="E13" s="585">
        <v>29048</v>
      </c>
      <c r="F13" s="1753">
        <f t="shared" si="1"/>
        <v>29048</v>
      </c>
    </row>
    <row r="14" spans="1:6" ht="13.7" customHeight="1" x14ac:dyDescent="0.2">
      <c r="A14" s="715" t="s">
        <v>410</v>
      </c>
      <c r="B14" s="1750">
        <f>SUM('Revenues 9-14'!C7:D7,'Revenues 9-14'!F7:H7)</f>
        <v>22453</v>
      </c>
      <c r="C14" s="585"/>
      <c r="D14" s="1753">
        <f t="shared" si="0"/>
        <v>22453</v>
      </c>
      <c r="E14" s="585">
        <v>22884</v>
      </c>
      <c r="F14" s="1753">
        <f t="shared" si="1"/>
        <v>22884</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76873</v>
      </c>
      <c r="C16" s="585"/>
      <c r="D16" s="1753">
        <f t="shared" si="0"/>
        <v>76873</v>
      </c>
      <c r="E16" s="585">
        <v>58753</v>
      </c>
      <c r="F16" s="1753">
        <f t="shared" si="1"/>
        <v>58753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2795584</v>
      </c>
      <c r="C19" s="1751">
        <f>SUM(C4:C18)</f>
        <v>0</v>
      </c>
      <c r="D19" s="1751">
        <f>SUM(D4:D18)</f>
        <v>2795584</v>
      </c>
      <c r="E19" s="1751">
        <f>SUM(E4:E18)</f>
        <v>2877436</v>
      </c>
      <c r="F19" s="1751">
        <f>SUM(F4:F18)</f>
        <v>2877436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differentOddEven="1" scaleWithDoc="0">
    <oddFooter>&amp;LSee notes to financial statements.&amp;C23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36" colorId="8" zoomScaleNormal="110" workbookViewId="0">
      <selection activeCell="A56" sqref="A5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42647</v>
      </c>
      <c r="C31" s="734">
        <v>400000</v>
      </c>
      <c r="D31" s="735">
        <v>1</v>
      </c>
      <c r="E31" s="734">
        <v>315000</v>
      </c>
      <c r="F31" s="734"/>
      <c r="G31" s="734"/>
      <c r="H31" s="734">
        <v>100000</v>
      </c>
      <c r="I31" s="1756">
        <f>((E31+F31)-H31)+G31</f>
        <v>215000</v>
      </c>
      <c r="J31" s="734">
        <v>215000</v>
      </c>
      <c r="K31" s="736"/>
    </row>
    <row r="32" spans="1:11" ht="12" customHeight="1" x14ac:dyDescent="0.2">
      <c r="A32" s="732" t="s">
        <v>2083</v>
      </c>
      <c r="B32" s="733">
        <v>42800</v>
      </c>
      <c r="C32" s="734">
        <v>800000</v>
      </c>
      <c r="D32" s="735">
        <v>7</v>
      </c>
      <c r="E32" s="734">
        <v>765000</v>
      </c>
      <c r="F32" s="734"/>
      <c r="G32" s="734"/>
      <c r="H32" s="734">
        <v>43000</v>
      </c>
      <c r="I32" s="1756">
        <f>((E32+F32)-H32)+G32</f>
        <v>722000</v>
      </c>
      <c r="J32" s="734">
        <v>722000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1200000</v>
      </c>
      <c r="D49" s="745"/>
      <c r="E49" s="1756">
        <f t="shared" ref="E49:J49" si="2">SUM(E31:E48)</f>
        <v>1080000</v>
      </c>
      <c r="F49" s="1756">
        <f t="shared" si="2"/>
        <v>0</v>
      </c>
      <c r="G49" s="1756">
        <f t="shared" si="2"/>
        <v>0</v>
      </c>
      <c r="H49" s="1756">
        <f t="shared" si="2"/>
        <v>143000</v>
      </c>
      <c r="I49" s="1756">
        <f t="shared" si="2"/>
        <v>937000</v>
      </c>
      <c r="J49" s="1756">
        <f t="shared" si="2"/>
        <v>937000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2084</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A26" colorId="8" zoomScaleNormal="110" workbookViewId="0">
      <selection activeCell="H40" sqref="H40:H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c r="I3" s="764"/>
      <c r="J3" s="765">
        <v>165062</v>
      </c>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22453</v>
      </c>
      <c r="I5" s="772"/>
      <c r="J5" s="773"/>
      <c r="K5" s="773"/>
    </row>
    <row r="6" spans="1:11" x14ac:dyDescent="0.2">
      <c r="A6" s="774" t="s">
        <v>720</v>
      </c>
      <c r="B6" s="775"/>
      <c r="C6" s="775"/>
      <c r="D6" s="775"/>
      <c r="E6" s="776"/>
      <c r="F6" s="777" t="s">
        <v>849</v>
      </c>
      <c r="G6" s="764"/>
      <c r="H6" s="764"/>
      <c r="I6" s="764"/>
      <c r="J6" s="765">
        <v>823</v>
      </c>
      <c r="K6" s="765"/>
    </row>
    <row r="7" spans="1:11" x14ac:dyDescent="0.2">
      <c r="A7" s="778" t="s">
        <v>246</v>
      </c>
      <c r="B7" s="779"/>
      <c r="C7" s="779"/>
      <c r="D7" s="779"/>
      <c r="E7" s="780"/>
      <c r="F7" s="770" t="s">
        <v>850</v>
      </c>
      <c r="G7" s="767"/>
      <c r="H7" s="767"/>
      <c r="I7" s="767"/>
      <c r="J7" s="781"/>
      <c r="K7" s="765">
        <v>1250</v>
      </c>
    </row>
    <row r="8" spans="1:11" x14ac:dyDescent="0.2">
      <c r="A8" s="778" t="s">
        <v>345</v>
      </c>
      <c r="B8" s="779"/>
      <c r="C8" s="779"/>
      <c r="D8" s="779"/>
      <c r="E8" s="780"/>
      <c r="F8" s="770" t="s">
        <v>851</v>
      </c>
      <c r="G8" s="782"/>
      <c r="H8" s="782"/>
      <c r="I8" s="782"/>
      <c r="J8" s="765">
        <v>147833</v>
      </c>
      <c r="K8" s="769"/>
    </row>
    <row r="9" spans="1:11" x14ac:dyDescent="0.2">
      <c r="A9" s="778" t="s">
        <v>138</v>
      </c>
      <c r="B9" s="779"/>
      <c r="C9" s="779"/>
      <c r="D9" s="779"/>
      <c r="E9" s="780"/>
      <c r="F9" s="777" t="s">
        <v>853</v>
      </c>
      <c r="G9" s="782"/>
      <c r="H9" s="771"/>
      <c r="I9" s="771"/>
      <c r="J9" s="781"/>
      <c r="K9" s="765">
        <v>5702</v>
      </c>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22453</v>
      </c>
      <c r="I12" s="1758">
        <f>SUM(I5:I11)</f>
        <v>0</v>
      </c>
      <c r="J12" s="1758">
        <f>SUM(J5:J11)</f>
        <v>148656</v>
      </c>
      <c r="K12" s="1758">
        <f>SUM(K5:K11)</f>
        <v>6952</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22453</v>
      </c>
      <c r="I14" s="771"/>
      <c r="J14" s="773"/>
      <c r="K14" s="765">
        <v>27178</v>
      </c>
    </row>
    <row r="15" spans="1:11" x14ac:dyDescent="0.2">
      <c r="A15" s="2217" t="s">
        <v>4</v>
      </c>
      <c r="B15" s="2217"/>
      <c r="C15" s="2217"/>
      <c r="D15" s="2217"/>
      <c r="E15" s="2218"/>
      <c r="F15" s="789" t="s">
        <v>855</v>
      </c>
      <c r="G15" s="771"/>
      <c r="H15" s="764"/>
      <c r="I15" s="764"/>
      <c r="J15" s="765">
        <v>147439</v>
      </c>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v>70912</v>
      </c>
      <c r="K22" s="765"/>
    </row>
    <row r="23" spans="1:11" ht="13.5" thickBot="1" x14ac:dyDescent="0.25">
      <c r="A23" s="2247" t="s">
        <v>906</v>
      </c>
      <c r="B23" s="2246"/>
      <c r="C23" s="2246"/>
      <c r="D23" s="2246"/>
      <c r="E23" s="2246"/>
      <c r="F23" s="1761"/>
      <c r="G23" s="1758">
        <f>SUM(G14:G16,G21,G22)</f>
        <v>0</v>
      </c>
      <c r="H23" s="1758">
        <f>SUM(H14:H16,H21,H22)</f>
        <v>22453</v>
      </c>
      <c r="I23" s="1758">
        <f>SUM(I14:I16,I21,I22)</f>
        <v>0</v>
      </c>
      <c r="J23" s="1758">
        <f>SUM(J14:J16,J21,J22)</f>
        <v>218351</v>
      </c>
      <c r="K23" s="1758">
        <f>SUM(K14:K16,K21,K22)</f>
        <v>27178</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95367</v>
      </c>
      <c r="K24" s="1763">
        <f>SUM(K3,K12)-K23</f>
        <v>-20226</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95367</v>
      </c>
      <c r="K26" s="1758">
        <f>K24-K25</f>
        <v>-20226</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dimension ref="A1:H202"/>
  <sheetViews>
    <sheetView showGridLines="0" defaultGridColor="0" colorId="8" zoomScale="110" zoomScaleNormal="110" workbookViewId="0">
      <pane ySplit="5" topLeftCell="A114" activePane="bottomLeft" state="frozen"/>
      <selection activeCell="A4" sqref="A4:F4"/>
      <selection pane="bottomLeft" activeCell="D199" sqref="D19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3" t="s">
        <v>1975</v>
      </c>
      <c r="B1" s="2254"/>
      <c r="C1" s="2254"/>
      <c r="D1" s="2254"/>
      <c r="E1" s="2254"/>
      <c r="F1" s="2255"/>
      <c r="G1" s="855"/>
    </row>
    <row r="2" spans="1:7" ht="15" customHeight="1" thickBot="1" x14ac:dyDescent="0.25">
      <c r="A2" s="2256" t="s">
        <v>477</v>
      </c>
      <c r="B2" s="2257"/>
      <c r="C2" s="2257"/>
      <c r="D2" s="2257"/>
      <c r="E2" s="2257"/>
      <c r="F2" s="225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3686174</v>
      </c>
      <c r="G8" s="865"/>
    </row>
    <row r="9" spans="1:7" x14ac:dyDescent="0.2">
      <c r="A9" s="869" t="s">
        <v>460</v>
      </c>
      <c r="B9" s="870" t="s">
        <v>1877</v>
      </c>
      <c r="C9" s="871"/>
      <c r="D9" s="869" t="s">
        <v>501</v>
      </c>
      <c r="E9" s="868"/>
      <c r="F9" s="1909">
        <f>'Expenditures 15-22'!K151</f>
        <v>318736</v>
      </c>
      <c r="G9" s="872"/>
    </row>
    <row r="10" spans="1:7" x14ac:dyDescent="0.2">
      <c r="A10" s="869" t="s">
        <v>499</v>
      </c>
      <c r="B10" s="870" t="s">
        <v>1878</v>
      </c>
      <c r="C10" s="871"/>
      <c r="D10" s="869" t="s">
        <v>501</v>
      </c>
      <c r="E10" s="868"/>
      <c r="F10" s="1909">
        <f>'Expenditures 15-22'!K174</f>
        <v>181137</v>
      </c>
      <c r="G10" s="872"/>
    </row>
    <row r="11" spans="1:7" x14ac:dyDescent="0.2">
      <c r="A11" s="869" t="s">
        <v>461</v>
      </c>
      <c r="B11" s="870" t="s">
        <v>1879</v>
      </c>
      <c r="C11" s="871"/>
      <c r="D11" s="869" t="s">
        <v>501</v>
      </c>
      <c r="E11" s="868"/>
      <c r="F11" s="1909">
        <f>'Expenditures 15-22'!K210</f>
        <v>286980</v>
      </c>
      <c r="G11" s="872"/>
    </row>
    <row r="12" spans="1:7" x14ac:dyDescent="0.2">
      <c r="A12" s="869" t="s">
        <v>462</v>
      </c>
      <c r="B12" s="870" t="s">
        <v>1880</v>
      </c>
      <c r="C12" s="871"/>
      <c r="D12" s="869" t="s">
        <v>501</v>
      </c>
      <c r="E12" s="868"/>
      <c r="F12" s="1909">
        <f>'Expenditures 15-22'!K295</f>
        <v>151053</v>
      </c>
      <c r="G12" s="872"/>
    </row>
    <row r="13" spans="1:7" x14ac:dyDescent="0.2">
      <c r="A13" s="869" t="s">
        <v>106</v>
      </c>
      <c r="B13" s="870" t="s">
        <v>1881</v>
      </c>
      <c r="C13" s="871"/>
      <c r="D13" s="869" t="s">
        <v>501</v>
      </c>
      <c r="E13" s="868"/>
      <c r="F13" s="1909">
        <f>'Expenditures 15-22'!K342</f>
        <v>120383</v>
      </c>
      <c r="G13" s="873"/>
    </row>
    <row r="14" spans="1:7" ht="12" customHeight="1" thickBot="1" x14ac:dyDescent="0.25">
      <c r="A14" s="1770"/>
      <c r="B14" s="1771"/>
      <c r="C14" s="1772"/>
      <c r="D14" s="1773" t="s">
        <v>501</v>
      </c>
      <c r="E14" s="1774" t="s">
        <v>958</v>
      </c>
      <c r="F14" s="1775">
        <f>SUM(F8:F13)</f>
        <v>4744463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72372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17950</v>
      </c>
      <c r="G52" s="865"/>
    </row>
    <row r="53" spans="1:7" x14ac:dyDescent="0.2">
      <c r="A53" s="869" t="s">
        <v>459</v>
      </c>
      <c r="B53" s="869" t="s">
        <v>1475</v>
      </c>
      <c r="C53" s="889">
        <f>'Expenditures 15-22'!B102</f>
        <v>4000</v>
      </c>
      <c r="D53" s="888" t="str">
        <f>'Expenditures 15-22'!A102</f>
        <v>Total Payments to Other Govt Units</v>
      </c>
      <c r="E53" s="868"/>
      <c r="F53" s="1913">
        <f>'Expenditures 15-22'!K102</f>
        <v>86446</v>
      </c>
      <c r="G53" s="865"/>
    </row>
    <row r="54" spans="1:7" x14ac:dyDescent="0.2">
      <c r="A54" s="869" t="s">
        <v>459</v>
      </c>
      <c r="B54" s="869" t="s">
        <v>1476</v>
      </c>
      <c r="C54" s="889" t="s">
        <v>982</v>
      </c>
      <c r="D54" s="885" t="s">
        <v>1095</v>
      </c>
      <c r="E54" s="868"/>
      <c r="F54" s="1913">
        <f>'Expenditures 15-22'!G114</f>
        <v>59086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2586</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143000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76806</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3775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1970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463991</v>
      </c>
      <c r="G76" s="865"/>
    </row>
    <row r="77" spans="1:8" s="893" customFormat="1" ht="12" customHeight="1" thickTop="1" thickBot="1" x14ac:dyDescent="0.25">
      <c r="A77" s="1779"/>
      <c r="B77" s="1776"/>
      <c r="C77" s="1772"/>
      <c r="D77" s="1777" t="s">
        <v>1900</v>
      </c>
      <c r="E77" s="1774"/>
      <c r="F77" s="1780">
        <f>(F14-F76)</f>
        <v>4280472</v>
      </c>
      <c r="G77" s="869"/>
    </row>
    <row r="78" spans="1:8" s="893" customFormat="1" ht="12" customHeight="1" thickTop="1" x14ac:dyDescent="0.2">
      <c r="A78" s="1781"/>
      <c r="B78" s="1776"/>
      <c r="C78" s="1772"/>
      <c r="D78" s="1777" t="s">
        <v>2062</v>
      </c>
      <c r="E78" s="1774"/>
      <c r="F78" s="898">
        <v>386.3</v>
      </c>
      <c r="G78" s="899"/>
      <c r="H78" s="869"/>
    </row>
    <row r="79" spans="1:8" s="893" customFormat="1" ht="12" customHeight="1" thickBot="1" x14ac:dyDescent="0.25">
      <c r="A79" s="1782"/>
      <c r="B79" s="1776"/>
      <c r="C79" s="1772"/>
      <c r="D79" s="1777" t="s">
        <v>1901</v>
      </c>
      <c r="E79" s="1774" t="s">
        <v>958</v>
      </c>
      <c r="F79" s="1783">
        <f>IF(F78&gt;0,F77/F78," Complete Line 78")</f>
        <v>11080.693761325394</v>
      </c>
      <c r="G79" s="869"/>
    </row>
    <row r="80" spans="1:8" s="893" customFormat="1" ht="8.25" customHeight="1" thickTop="1" x14ac:dyDescent="0.2">
      <c r="A80" s="900"/>
      <c r="B80" s="869"/>
      <c r="C80" s="871"/>
      <c r="D80" s="901"/>
      <c r="E80" s="868"/>
      <c r="F80" s="902"/>
      <c r="G80" s="869"/>
    </row>
    <row r="81" spans="1:7" s="893" customFormat="1" ht="12" thickBot="1" x14ac:dyDescent="0.25">
      <c r="A81" s="2250" t="s">
        <v>1105</v>
      </c>
      <c r="B81" s="2251"/>
      <c r="C81" s="2251"/>
      <c r="D81" s="2251"/>
      <c r="E81" s="2251"/>
      <c r="F81" s="225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52221</v>
      </c>
      <c r="G94" s="912"/>
    </row>
    <row r="95" spans="1:7" x14ac:dyDescent="0.2">
      <c r="A95" s="908" t="s">
        <v>140</v>
      </c>
      <c r="B95" s="908" t="s">
        <v>175</v>
      </c>
      <c r="C95" s="910">
        <v>1700</v>
      </c>
      <c r="D95" s="918" t="str">
        <f>'Revenues 9-14'!A82</f>
        <v>Total District/School Activity Income</v>
      </c>
      <c r="E95" s="906"/>
      <c r="F95" s="1789">
        <f>SUM('Revenues 9-14'!C82,'Revenues 9-14'!D82)</f>
        <v>41295</v>
      </c>
      <c r="G95" s="912"/>
    </row>
    <row r="96" spans="1:7" x14ac:dyDescent="0.2">
      <c r="A96" s="908" t="s">
        <v>459</v>
      </c>
      <c r="B96" s="908" t="s">
        <v>176</v>
      </c>
      <c r="C96" s="910">
        <f>'Revenues 9-14'!B84</f>
        <v>1811</v>
      </c>
      <c r="D96" s="911" t="str">
        <f>'Revenues 9-14'!A84</f>
        <v>Rentals - Regular Textbooks</v>
      </c>
      <c r="E96" s="906"/>
      <c r="F96" s="1789">
        <f>'Revenues 9-14'!C84</f>
        <v>16342</v>
      </c>
      <c r="G96" s="912"/>
    </row>
    <row r="97" spans="1:7" x14ac:dyDescent="0.2">
      <c r="A97" s="908" t="s">
        <v>459</v>
      </c>
      <c r="B97" s="908" t="s">
        <v>177</v>
      </c>
      <c r="C97" s="910">
        <f>'Revenues 9-14'!B87</f>
        <v>1819</v>
      </c>
      <c r="D97" s="911" t="str">
        <f>'Revenues 9-14'!A87</f>
        <v>Rentals - Other (Describe &amp; Itemize)</v>
      </c>
      <c r="E97" s="906"/>
      <c r="F97" s="1789">
        <f>'Revenues 9-14'!C87</f>
        <v>4929</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6600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36697</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13836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46629</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1595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5702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108978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8406</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92358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70979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4026</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10246</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4737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61488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25094</v>
      </c>
      <c r="G170" s="927"/>
    </row>
    <row r="171" spans="1:7" x14ac:dyDescent="0.2">
      <c r="A171" s="1918" t="s">
        <v>5</v>
      </c>
      <c r="B171" s="1919" t="s">
        <v>1920</v>
      </c>
      <c r="C171" s="1920">
        <v>3100</v>
      </c>
      <c r="D171" s="1921" t="s">
        <v>1922</v>
      </c>
      <c r="E171" s="906"/>
      <c r="F171" s="1906">
        <v>121740</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733898</v>
      </c>
    </row>
    <row r="175" spans="1:7" ht="12" customHeight="1" x14ac:dyDescent="0.2">
      <c r="A175" s="1770"/>
      <c r="B175" s="1784"/>
      <c r="C175" s="1785"/>
      <c r="D175" s="1786" t="s">
        <v>2057</v>
      </c>
      <c r="E175" s="1787"/>
      <c r="F175" s="1789">
        <f>'PCTC-OEPP 27-28'!F77-F174</f>
        <v>3546574</v>
      </c>
    </row>
    <row r="176" spans="1:7" ht="12" customHeight="1" x14ac:dyDescent="0.2">
      <c r="A176" s="1770"/>
      <c r="B176" s="1784"/>
      <c r="C176" s="1785"/>
      <c r="D176" s="1786" t="s">
        <v>1817</v>
      </c>
      <c r="E176" s="1787"/>
      <c r="F176" s="1789">
        <f>'Cap Outlay Deprec 26'!I18</f>
        <v>194516</v>
      </c>
    </row>
    <row r="177" spans="1:7" ht="12" customHeight="1" x14ac:dyDescent="0.2">
      <c r="A177" s="1770"/>
      <c r="B177" s="1784"/>
      <c r="C177" s="1785"/>
      <c r="D177" s="1786" t="s">
        <v>2058</v>
      </c>
      <c r="E177" s="1787"/>
      <c r="F177" s="1789">
        <f>F175+F176</f>
        <v>3741090</v>
      </c>
    </row>
    <row r="178" spans="1:7" ht="12" customHeight="1" x14ac:dyDescent="0.2">
      <c r="A178" s="1770"/>
      <c r="B178" s="1790"/>
      <c r="C178" s="1785"/>
      <c r="D178" s="1786" t="str">
        <f>D78</f>
        <v>9 Month ADA from District Average Daily Attendance/Prior General State Aid Inquiry 2018-2019</v>
      </c>
      <c r="E178" s="1787"/>
      <c r="F178" s="1791">
        <f>'PCTC-OEPP 27-28'!F78</f>
        <v>386.3</v>
      </c>
      <c r="G178" s="930"/>
    </row>
    <row r="179" spans="1:7" ht="12" customHeight="1" thickBot="1" x14ac:dyDescent="0.25">
      <c r="A179" s="1770"/>
      <c r="B179" s="1790"/>
      <c r="C179" s="1785"/>
      <c r="D179" s="1786" t="s">
        <v>2059</v>
      </c>
      <c r="E179" s="1787" t="s">
        <v>1545</v>
      </c>
      <c r="F179" s="1792">
        <f>F177/F178</f>
        <v>9684.4162567952371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C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view="pageLayout" topLeftCell="A4" colorId="8" zoomScaleNormal="11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1909</v>
      </c>
      <c r="B1" s="2264"/>
      <c r="C1" s="2265"/>
      <c r="D1" s="826"/>
      <c r="E1" s="827"/>
      <c r="F1" s="827"/>
      <c r="G1" s="828"/>
      <c r="H1" s="829"/>
      <c r="I1" s="830"/>
      <c r="J1" s="2261"/>
      <c r="K1" s="2262"/>
      <c r="L1" s="226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v>90712</v>
      </c>
      <c r="D6" s="765"/>
      <c r="E6" s="765"/>
      <c r="F6" s="1760">
        <f>(C6+D6)-E6</f>
        <v>90712</v>
      </c>
      <c r="G6" s="837">
        <v>50</v>
      </c>
      <c r="H6" s="765"/>
      <c r="I6" s="765"/>
      <c r="J6" s="765"/>
      <c r="K6" s="1769">
        <f>(H6+I6)-J6</f>
        <v>0</v>
      </c>
      <c r="L6" s="1769">
        <f>F6-K6</f>
        <v>90712</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3569128</v>
      </c>
      <c r="D8" s="844">
        <v>128482</v>
      </c>
      <c r="E8" s="844"/>
      <c r="F8" s="1760">
        <f>(C8+D8)-E8</f>
        <v>3697610</v>
      </c>
      <c r="G8" s="843">
        <v>50</v>
      </c>
      <c r="H8" s="765">
        <v>1821356</v>
      </c>
      <c r="I8" s="765">
        <v>72667</v>
      </c>
      <c r="J8" s="765"/>
      <c r="K8" s="1769">
        <f>(H8+I8)-J8</f>
        <v>1894023</v>
      </c>
      <c r="L8" s="1769">
        <f>F8-K8</f>
        <v>1803587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160574</v>
      </c>
      <c r="D10" s="846"/>
      <c r="E10" s="846"/>
      <c r="F10" s="1764">
        <f>(C10+D10)-E10</f>
        <v>160574</v>
      </c>
      <c r="G10" s="843">
        <v>20</v>
      </c>
      <c r="H10" s="847">
        <v>33874</v>
      </c>
      <c r="I10" s="847">
        <v>7368</v>
      </c>
      <c r="J10" s="847"/>
      <c r="K10" s="1769">
        <f>(H10+I10)-J10</f>
        <v>41242</v>
      </c>
      <c r="L10" s="1769">
        <f>F10-K10</f>
        <v>119332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2184128</v>
      </c>
      <c r="D12" s="844">
        <v>58762</v>
      </c>
      <c r="E12" s="844"/>
      <c r="F12" s="1760">
        <f>(C12+D12)-E12</f>
        <v>2242890</v>
      </c>
      <c r="G12" s="843">
        <v>10</v>
      </c>
      <c r="H12" s="765">
        <v>1783368</v>
      </c>
      <c r="I12" s="765">
        <v>67450</v>
      </c>
      <c r="J12" s="765"/>
      <c r="K12" s="1769">
        <f>(H12+I12)-J12</f>
        <v>1850818</v>
      </c>
      <c r="L12" s="1769">
        <f>F12-K12</f>
        <v>392072</v>
      </c>
    </row>
    <row r="13" spans="1:14" ht="14.25" thickTop="1" thickBot="1" x14ac:dyDescent="0.25">
      <c r="A13" s="848" t="s">
        <v>1122</v>
      </c>
      <c r="B13" s="840">
        <v>252</v>
      </c>
      <c r="C13" s="844">
        <v>505922</v>
      </c>
      <c r="D13" s="844">
        <v>74473</v>
      </c>
      <c r="E13" s="844">
        <v>33273</v>
      </c>
      <c r="F13" s="1760">
        <f>(C13+D13)-E13</f>
        <v>547122</v>
      </c>
      <c r="G13" s="843">
        <v>5</v>
      </c>
      <c r="H13" s="765">
        <v>401645</v>
      </c>
      <c r="I13" s="765">
        <v>47031</v>
      </c>
      <c r="J13" s="765">
        <v>33273</v>
      </c>
      <c r="K13" s="1769">
        <f>(H13+I13)-J13</f>
        <v>415403</v>
      </c>
      <c r="L13" s="1769">
        <f>F13-K13</f>
        <v>131719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4750</v>
      </c>
      <c r="E15" s="844"/>
      <c r="F15" s="1760">
        <f>(C15+D15)-E15</f>
        <v>4750</v>
      </c>
      <c r="G15" s="849" t="s">
        <v>862</v>
      </c>
      <c r="H15" s="781"/>
      <c r="I15" s="781"/>
      <c r="J15" s="781"/>
      <c r="K15" s="781"/>
      <c r="L15" s="1769">
        <f>F15-K15</f>
        <v>4750</v>
      </c>
    </row>
    <row r="16" spans="1:14" ht="15" customHeight="1" thickTop="1" thickBot="1" x14ac:dyDescent="0.25">
      <c r="A16" s="1765" t="s">
        <v>643</v>
      </c>
      <c r="B16" s="1766">
        <v>200</v>
      </c>
      <c r="C16" s="1760">
        <f>SUM(C3,C5:C6,C8:C10,C12:C15)</f>
        <v>6510464</v>
      </c>
      <c r="D16" s="1760">
        <f>SUM(D3,D5:D6,D8:D10,D12:D15)</f>
        <v>266467</v>
      </c>
      <c r="E16" s="1760">
        <f>SUM(E3,E5:E6,E8:E10,E12:E15)</f>
        <v>33273</v>
      </c>
      <c r="F16" s="1760">
        <f>SUM(F3,F5:F6,F8:F10,F12:F15)</f>
        <v>6743658</v>
      </c>
      <c r="G16" s="843"/>
      <c r="H16" s="1760">
        <f>SUM(H3,H6,H8:H10,H12:H14,)</f>
        <v>4040243</v>
      </c>
      <c r="I16" s="1760">
        <f>SUM(I3,I6,I8:I10,I12:I14,)</f>
        <v>194516</v>
      </c>
      <c r="J16" s="1760">
        <f>SUM(J3,J6,J8:J10,J12:J14,)</f>
        <v>33273</v>
      </c>
      <c r="K16" s="1760">
        <f>(H16+I16)-J16</f>
        <v>4201486</v>
      </c>
      <c r="L16" s="1760">
        <f>F16-K16</f>
        <v>2542172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194516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statements.&amp;C26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0" fitToHeight="0" orientation="landscape"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0" colorId="8" zoomScaleNormal="110" workbookViewId="0">
      <selection activeCell="D46" sqref="D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80497</v>
      </c>
      <c r="F10" s="974"/>
      <c r="G10" s="975"/>
      <c r="H10" s="162"/>
      <c r="I10" s="162"/>
    </row>
    <row r="11" spans="1:9" s="668" customFormat="1" ht="22.5" customHeight="1" x14ac:dyDescent="0.2">
      <c r="A11" s="2286" t="s">
        <v>1977</v>
      </c>
      <c r="B11" s="2287"/>
      <c r="C11" s="2287"/>
      <c r="D11" s="2288"/>
      <c r="E11" s="977">
        <v>14589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2718523</v>
      </c>
      <c r="F19" s="1799"/>
      <c r="G19" s="1801">
        <f>'Expenditures 15-22'!K33-SUM('Expenditures 15-22'!G33,'Expenditures 15-22'!I33)+'Expenditures 15-22'!D229</f>
        <v>2718523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125262</v>
      </c>
      <c r="F21" s="1802"/>
      <c r="G21" s="1805">
        <f>'Expenditures 15-22'!K42-SUM('Expenditures 15-22'!G42,'Expenditures 15-22'!I42)+'Expenditures 15-22'!K120-SUM('Expenditures 15-22'!G120,'Expenditures 15-22'!I120)+'Expenditures 15-22'!K180-SUM('Expenditures 15-22'!G180,'Expenditures 15-22'!I180)+'Expenditures 15-22'!D238</f>
        <v>125262</v>
      </c>
      <c r="H21" s="987"/>
      <c r="I21" s="162"/>
    </row>
    <row r="22" spans="1:9" s="668" customFormat="1" ht="12" customHeight="1" x14ac:dyDescent="0.2">
      <c r="A22" s="994" t="s">
        <v>564</v>
      </c>
      <c r="B22" s="995"/>
      <c r="C22" s="993">
        <v>2200</v>
      </c>
      <c r="D22" s="1802"/>
      <c r="E22" s="1804">
        <f>'Expenditures 15-22'!K47-SUM('Expenditures 15-22'!G47,'Expenditures 15-22'!I47)+'Expenditures 15-22'!D243</f>
        <v>61708</v>
      </c>
      <c r="F22" s="1802"/>
      <c r="G22" s="1805">
        <f>'Expenditures 15-22'!K47-SUM('Expenditures 15-22'!G47,'Expenditures 15-22'!I47)+'Expenditures 15-22'!D243</f>
        <v>61708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313404</v>
      </c>
      <c r="F23" s="1802"/>
      <c r="G23" s="1804">
        <f>'Expenditures 15-22'!K53-SUM('Expenditures 15-22'!G53,'Expenditures 15-22'!I53)+'Expenditures 15-22'!D257+'Expenditures 15-22'!K330-SUM('Expenditures 15-22'!G330,'Expenditures 15-22'!I330)</f>
        <v>313404</v>
      </c>
      <c r="H23" s="987"/>
      <c r="I23" s="162"/>
    </row>
    <row r="24" spans="1:9" s="668" customFormat="1" ht="12" customHeight="1" x14ac:dyDescent="0.2">
      <c r="A24" s="994" t="s">
        <v>566</v>
      </c>
      <c r="B24" s="995"/>
      <c r="C24" s="993">
        <v>2400</v>
      </c>
      <c r="D24" s="1802"/>
      <c r="E24" s="1804">
        <f>'Expenditures 15-22'!K57-SUM('Expenditures 15-22'!G57,'Expenditures 15-22'!I57)+'Expenditures 15-22'!D261</f>
        <v>204589</v>
      </c>
      <c r="F24" s="1802"/>
      <c r="G24" s="1805">
        <f>'Expenditures 15-22'!K57-SUM('Expenditures 15-22'!G57,'Expenditures 15-22'!I57)+'Expenditures 15-22'!D261</f>
        <v>204589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153540</v>
      </c>
      <c r="E27" s="1804">
        <f>E8</f>
        <v>0</v>
      </c>
      <c r="F27" s="1804">
        <f>'Expenditures 15-22'!K60-SUM('Expenditures 15-22'!G60,'Expenditures 15-22'!I60)+'Expenditures 15-22'!D264-E8</f>
        <v>153540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341962</v>
      </c>
      <c r="F28" s="1806">
        <f>'Expenditures 15-22'!K61-SUM('Expenditures 15-22'!G61,'Expenditures 15-22'!I61)+'Expenditures 15-22'!K124-SUM('Expenditures 15-22'!G124,'Expenditures 15-22'!I124)+'Expenditures 15-22'!D266-E9</f>
        <v>341962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230636</v>
      </c>
      <c r="F29" s="1802"/>
      <c r="G29" s="1805">
        <f>'Expenditures 15-22'!K62-SUM('Expenditures 15-22'!G62,'Expenditures 15-22'!I62)+'Expenditures 15-22'!K125-SUM('Expenditures 15-22'!G125,'Expenditures 15-22'!I125)+'Expenditures 15-22'!K182-SUM('Expenditures 15-22'!G182,'Expenditures 15-22'!I182)+'Expenditures 15-22'!D267</f>
        <v>230636</v>
      </c>
      <c r="H29" s="985"/>
    </row>
    <row r="30" spans="1:9" ht="12" customHeight="1" x14ac:dyDescent="0.2">
      <c r="A30" s="994" t="s">
        <v>100</v>
      </c>
      <c r="B30" s="997"/>
      <c r="C30" s="993">
        <v>2560</v>
      </c>
      <c r="D30" s="1802"/>
      <c r="E30" s="1804">
        <f>'Expenditures 15-22'!K63-SUM('Expenditures 15-22'!G63,'Expenditures 15-22'!I63)+'Expenditures 15-22'!D268-E10</f>
        <v>80670</v>
      </c>
      <c r="F30" s="1802"/>
      <c r="G30" s="1804">
        <f>'Expenditures 15-22'!K63-SUM('Expenditures 15-22'!G63,'Expenditures 15-22'!I63)+'Expenditures 15-22'!D268-E10</f>
        <v>80670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19920</v>
      </c>
      <c r="F39" s="1802"/>
      <c r="G39" s="1804">
        <f>'Expenditures 15-22'!K75-SUM('Expenditures 15-22'!G75,'Expenditures 15-22'!I75)+'Expenditures 15-22'!K130-SUM('Expenditures 15-22'!G130,'Expenditures 15-22'!I130)+'Expenditures 15-22'!K185-SUM('Expenditures 15-22'!G185,'Expenditures 15-22'!I185)+'Expenditures 15-22'!D280</f>
        <v>19920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153540</v>
      </c>
      <c r="E41" s="1806">
        <f>SUM(E19:E40)</f>
        <v>4096674</v>
      </c>
      <c r="F41" s="1806">
        <f>SUM(F19:F39)</f>
        <v>495502</v>
      </c>
      <c r="G41" s="1806">
        <f>SUM(G19:G40)</f>
        <v>3754712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153540</v>
      </c>
      <c r="F43" s="1807" t="s">
        <v>473</v>
      </c>
      <c r="G43" s="1808">
        <f>F41</f>
        <v>495502</v>
      </c>
    </row>
    <row r="44" spans="1:7" ht="12" customHeight="1" x14ac:dyDescent="0.2">
      <c r="A44" s="987"/>
      <c r="B44" s="162"/>
      <c r="C44" s="1001"/>
      <c r="D44" s="1807" t="s">
        <v>474</v>
      </c>
      <c r="E44" s="1808">
        <f>E41</f>
        <v>4096674</v>
      </c>
      <c r="F44" s="1807" t="s">
        <v>474</v>
      </c>
      <c r="G44" s="1808">
        <f>G41</f>
        <v>3754712</v>
      </c>
    </row>
    <row r="45" spans="1:7" ht="12" customHeight="1" x14ac:dyDescent="0.2">
      <c r="A45" s="987"/>
      <c r="B45" s="162"/>
      <c r="C45" s="162"/>
      <c r="D45" s="1809" t="s">
        <v>1006</v>
      </c>
      <c r="E45" s="1810">
        <f>(E43/E44)</f>
        <v>3.7479184333437318E-2</v>
      </c>
      <c r="F45" s="1809" t="s">
        <v>1006</v>
      </c>
      <c r="G45" s="1810">
        <f>(G43/G44)</f>
        <v>0.13196804441991822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Layout" zoomScaleNormal="110" workbookViewId="0">
      <selection activeCell="F25" sqref="F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Greenfield CUSD 10</v>
      </c>
      <c r="D6" s="2307"/>
      <c r="E6" s="2307"/>
      <c r="F6" s="1852"/>
    </row>
    <row r="7" spans="1:10" ht="11.25" customHeight="1" thickBot="1" x14ac:dyDescent="0.3">
      <c r="A7" s="1850"/>
      <c r="B7" s="1851"/>
      <c r="C7" s="2308">
        <f>COVER!A13</f>
        <v>40031010026</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2086</v>
      </c>
      <c r="D11" s="1865" t="s">
        <v>2086</v>
      </c>
      <c r="E11" s="1866" t="s">
        <v>2086</v>
      </c>
      <c r="F11" s="1867" t="s">
        <v>2087</v>
      </c>
      <c r="H11" s="1878">
        <f>IF(C11="X",5,0)</f>
        <v>5</v>
      </c>
      <c r="I11" s="1878">
        <f>IF(D11="X",5,0)</f>
        <v>5</v>
      </c>
      <c r="J11" s="1878">
        <f>IF(E11="X",5,0)</f>
        <v>5</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2086</v>
      </c>
      <c r="D13" s="1865" t="s">
        <v>2086</v>
      </c>
      <c r="E13" s="1868" t="s">
        <v>2086</v>
      </c>
      <c r="F13" s="1867" t="s">
        <v>2088</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2086</v>
      </c>
      <c r="D16" s="1865" t="s">
        <v>2086</v>
      </c>
      <c r="E16" s="1868" t="s">
        <v>2086</v>
      </c>
      <c r="F16" s="1867" t="s">
        <v>2089</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2086</v>
      </c>
      <c r="D19" s="1865" t="s">
        <v>2086</v>
      </c>
      <c r="E19" s="1868" t="s">
        <v>2086</v>
      </c>
      <c r="F19" s="1867" t="s">
        <v>2090</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2086</v>
      </c>
      <c r="D23" s="1865" t="s">
        <v>2086</v>
      </c>
      <c r="E23" s="1868" t="s">
        <v>2086</v>
      </c>
      <c r="F23" s="1867" t="s">
        <v>2091</v>
      </c>
      <c r="H23" s="1878">
        <f t="shared" si="0"/>
        <v>5</v>
      </c>
      <c r="I23" s="1878">
        <f t="shared" si="1"/>
        <v>5</v>
      </c>
      <c r="J23" s="1878">
        <f t="shared" si="2"/>
        <v>5</v>
      </c>
    </row>
    <row r="24" spans="1:12" ht="12" customHeight="1" x14ac:dyDescent="0.2">
      <c r="A24" s="1863" t="s">
        <v>1532</v>
      </c>
      <c r="B24" s="1864"/>
      <c r="C24" s="1865" t="s">
        <v>2086</v>
      </c>
      <c r="D24" s="1865" t="s">
        <v>2086</v>
      </c>
      <c r="E24" s="1868" t="s">
        <v>2086</v>
      </c>
      <c r="F24" s="1867" t="s">
        <v>2092</v>
      </c>
      <c r="H24" s="1878">
        <f t="shared" si="0"/>
        <v>5</v>
      </c>
      <c r="I24" s="1878">
        <f t="shared" si="1"/>
        <v>5</v>
      </c>
      <c r="J24" s="1878">
        <f t="shared" si="2"/>
        <v>5</v>
      </c>
    </row>
    <row r="25" spans="1:12" ht="12" customHeight="1" x14ac:dyDescent="0.2">
      <c r="A25" s="1863" t="s">
        <v>1533</v>
      </c>
      <c r="B25" s="1864"/>
      <c r="C25" s="1865" t="s">
        <v>2086</v>
      </c>
      <c r="D25" s="1865"/>
      <c r="E25" s="1868"/>
      <c r="F25" s="1867" t="s">
        <v>2093</v>
      </c>
      <c r="H25" s="1878">
        <f t="shared" si="0"/>
        <v>5</v>
      </c>
      <c r="I25" s="1878">
        <f t="shared" si="1"/>
        <v>0</v>
      </c>
      <c r="J25" s="1878">
        <f t="shared" si="2"/>
        <v>0</v>
      </c>
    </row>
    <row r="26" spans="1:12" ht="12" customHeight="1" x14ac:dyDescent="0.2">
      <c r="A26" s="1863" t="s">
        <v>1534</v>
      </c>
      <c r="B26" s="1864"/>
      <c r="C26" s="1865" t="s">
        <v>2086</v>
      </c>
      <c r="D26" s="1865" t="s">
        <v>2086</v>
      </c>
      <c r="E26" s="1868" t="s">
        <v>2086</v>
      </c>
      <c r="F26" s="1867" t="s">
        <v>2094</v>
      </c>
      <c r="H26" s="1878">
        <f t="shared" si="0"/>
        <v>5</v>
      </c>
      <c r="I26" s="1878">
        <f t="shared" si="1"/>
        <v>5</v>
      </c>
      <c r="J26" s="1878">
        <f t="shared" si="2"/>
        <v>5</v>
      </c>
    </row>
    <row r="27" spans="1:12" ht="18.75" x14ac:dyDescent="0.2">
      <c r="A27" s="1863" t="s">
        <v>1535</v>
      </c>
      <c r="B27" s="1864"/>
      <c r="C27" s="1865" t="s">
        <v>2086</v>
      </c>
      <c r="D27" s="1865" t="s">
        <v>2086</v>
      </c>
      <c r="E27" s="1868" t="s">
        <v>2086</v>
      </c>
      <c r="F27" s="1867" t="s">
        <v>2095</v>
      </c>
      <c r="H27" s="1878">
        <f t="shared" si="0"/>
        <v>5</v>
      </c>
      <c r="I27" s="1878">
        <f t="shared" si="1"/>
        <v>5</v>
      </c>
      <c r="J27" s="1878">
        <f t="shared" si="2"/>
        <v>5</v>
      </c>
    </row>
    <row r="28" spans="1:12" ht="12" customHeight="1" x14ac:dyDescent="0.2">
      <c r="A28" s="1863" t="s">
        <v>1536</v>
      </c>
      <c r="B28" s="1864"/>
      <c r="C28" s="1865" t="s">
        <v>2086</v>
      </c>
      <c r="D28" s="1865" t="s">
        <v>2086</v>
      </c>
      <c r="E28" s="1868" t="s">
        <v>2086</v>
      </c>
      <c r="F28" s="1867" t="s">
        <v>2096</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2086</v>
      </c>
      <c r="D30" s="1865" t="s">
        <v>2086</v>
      </c>
      <c r="E30" s="1868" t="s">
        <v>2086</v>
      </c>
      <c r="F30" s="1867" t="s">
        <v>2097</v>
      </c>
      <c r="H30" s="1878">
        <f t="shared" si="0"/>
        <v>5</v>
      </c>
      <c r="I30" s="1878">
        <f t="shared" si="1"/>
        <v>5</v>
      </c>
      <c r="J30" s="1878">
        <f t="shared" si="2"/>
        <v>5</v>
      </c>
    </row>
    <row r="31" spans="1:12" ht="12" customHeight="1" x14ac:dyDescent="0.2">
      <c r="A31" s="1863" t="s">
        <v>1539</v>
      </c>
      <c r="B31" s="1864"/>
      <c r="C31" s="1865" t="s">
        <v>2086</v>
      </c>
      <c r="D31" s="1865" t="s">
        <v>2086</v>
      </c>
      <c r="E31" s="1868" t="s">
        <v>2086</v>
      </c>
      <c r="F31" s="1867" t="s">
        <v>2098</v>
      </c>
      <c r="H31" s="1878">
        <f t="shared" si="0"/>
        <v>5</v>
      </c>
      <c r="I31" s="1878">
        <f t="shared" si="1"/>
        <v>5</v>
      </c>
      <c r="J31" s="1878">
        <f t="shared" si="2"/>
        <v>5</v>
      </c>
      <c r="L31" s="1869"/>
    </row>
    <row r="32" spans="1:12" ht="12" customHeight="1" x14ac:dyDescent="0.2">
      <c r="A32" s="1863" t="s">
        <v>1540</v>
      </c>
      <c r="B32" s="1864"/>
      <c r="C32" s="1865" t="s">
        <v>2086</v>
      </c>
      <c r="D32" s="1865" t="s">
        <v>2086</v>
      </c>
      <c r="E32" s="1868" t="s">
        <v>2086</v>
      </c>
      <c r="F32" s="1867" t="s">
        <v>2099</v>
      </c>
      <c r="H32" s="1878">
        <f t="shared" si="0"/>
        <v>5</v>
      </c>
      <c r="I32" s="1878">
        <f t="shared" si="1"/>
        <v>5</v>
      </c>
      <c r="J32" s="1878">
        <f t="shared" si="2"/>
        <v>5</v>
      </c>
    </row>
    <row r="33" spans="1:11" ht="12" customHeight="1" x14ac:dyDescent="0.2">
      <c r="A33" s="1863" t="s">
        <v>1541</v>
      </c>
      <c r="B33" s="1864"/>
      <c r="C33" s="1865"/>
      <c r="D33" s="1865"/>
      <c r="E33" s="1868" t="s">
        <v>2086</v>
      </c>
      <c r="F33" s="1867" t="s">
        <v>2100</v>
      </c>
      <c r="H33" s="1878">
        <f t="shared" si="0"/>
        <v>0</v>
      </c>
      <c r="I33" s="1878">
        <f t="shared" si="1"/>
        <v>0</v>
      </c>
      <c r="J33" s="1878">
        <f t="shared" si="2"/>
        <v>5</v>
      </c>
    </row>
    <row r="34" spans="1:11" ht="12" customHeight="1" x14ac:dyDescent="0.25">
      <c r="A34" s="1870"/>
      <c r="B34" s="1870"/>
      <c r="C34" s="1870"/>
      <c r="D34" s="1870"/>
      <c r="E34" s="1870"/>
      <c r="F34" s="1870"/>
      <c r="H34" s="1878">
        <f>SUM(H11:H32)</f>
        <v>65</v>
      </c>
      <c r="I34" s="1878">
        <f>SUM(I11:I32)</f>
        <v>60</v>
      </c>
      <c r="J34" s="1878">
        <f>SUM(J11:J32)</f>
        <v>60</v>
      </c>
      <c r="K34" s="1878">
        <f>SUM(H34:J34)</f>
        <v>185</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scaleWithDoc="0">
    <oddFooter>&amp;LSee notes to financial statements.&amp;C31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17" colorId="8" zoomScaleNormal="110" workbookViewId="0">
      <selection activeCell="J30" sqref="J30:J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Greenfield CUSD 10</v>
      </c>
      <c r="J6" s="2317"/>
      <c r="Q6" s="1664"/>
    </row>
    <row r="7" spans="1:17" x14ac:dyDescent="0.2">
      <c r="A7" s="2318" t="s">
        <v>869</v>
      </c>
      <c r="B7" s="2319"/>
      <c r="C7" s="2319"/>
      <c r="D7" s="2319"/>
      <c r="E7" s="2320"/>
      <c r="F7" s="1017"/>
      <c r="G7" s="1009"/>
      <c r="H7" s="1016" t="s">
        <v>372</v>
      </c>
      <c r="I7" s="2321">
        <f>COVER!A13</f>
        <v>40031010026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117324</v>
      </c>
      <c r="F12" s="1039"/>
      <c r="G12" s="1811">
        <f t="shared" ref="G12:G18" si="0">SUM(E12:F12)</f>
        <v>117324</v>
      </c>
      <c r="H12" s="1040">
        <v>100302</v>
      </c>
      <c r="I12" s="1039"/>
      <c r="J12" s="1811">
        <f t="shared" ref="J12:J18" si="1">SUM(H12:I12)</f>
        <v>100302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117324</v>
      </c>
      <c r="F19" s="1813">
        <f t="shared" si="2"/>
        <v>0</v>
      </c>
      <c r="G19" s="1813">
        <f t="shared" si="2"/>
        <v>117324</v>
      </c>
      <c r="H19" s="1813">
        <f t="shared" si="2"/>
        <v>100302</v>
      </c>
      <c r="I19" s="1813">
        <f t="shared" si="2"/>
        <v>0</v>
      </c>
      <c r="J19" s="1813">
        <f t="shared" si="2"/>
        <v>100302</v>
      </c>
    </row>
    <row r="20" spans="1:10" ht="13.5" thickTop="1" x14ac:dyDescent="0.2">
      <c r="A20" s="1035">
        <v>9</v>
      </c>
      <c r="B20" s="2328" t="s">
        <v>1981</v>
      </c>
      <c r="C20" s="2328"/>
      <c r="D20" s="2329"/>
      <c r="E20" s="1046"/>
      <c r="F20" s="1046"/>
      <c r="G20" s="1046"/>
      <c r="H20" s="1046"/>
      <c r="I20" s="1046"/>
      <c r="J20" s="1814">
        <f>IF(AND(G19&gt;0,J19&gt;0),(((J19-G19)/G19)),"Enter Budget Data")</f>
        <v>-0.14508540452081414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statements.&amp;C32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topLeftCell="A45" zoomScaleNormal="110" workbookViewId="0">
      <selection activeCell="B63" sqref="B6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2133</v>
      </c>
    </row>
    <row r="6" spans="1:2" x14ac:dyDescent="0.2">
      <c r="A6" s="1068"/>
      <c r="B6" s="329" t="s">
        <v>2161</v>
      </c>
    </row>
    <row r="7" spans="1:2" x14ac:dyDescent="0.2">
      <c r="A7" s="1068"/>
    </row>
    <row r="8" spans="1:2" x14ac:dyDescent="0.2">
      <c r="A8" s="1068">
        <v>2</v>
      </c>
      <c r="B8" s="329" t="s">
        <v>2134</v>
      </c>
    </row>
    <row r="9" spans="1:2" x14ac:dyDescent="0.2">
      <c r="A9" s="1069"/>
      <c r="B9" s="329" t="s">
        <v>2162</v>
      </c>
    </row>
    <row r="10" spans="1:2" x14ac:dyDescent="0.2">
      <c r="A10" s="1069"/>
    </row>
    <row r="11" spans="1:2" x14ac:dyDescent="0.2">
      <c r="A11" s="1069">
        <v>3</v>
      </c>
      <c r="B11" s="329" t="s">
        <v>2135</v>
      </c>
    </row>
    <row r="12" spans="1:2" x14ac:dyDescent="0.2">
      <c r="A12" s="1069"/>
      <c r="B12" s="329" t="s">
        <v>2136</v>
      </c>
    </row>
    <row r="13" spans="1:2" x14ac:dyDescent="0.2">
      <c r="A13" s="1069"/>
    </row>
    <row r="14" spans="1:2" x14ac:dyDescent="0.2">
      <c r="A14" s="1069">
        <v>4</v>
      </c>
      <c r="B14" s="329" t="s">
        <v>2142</v>
      </c>
    </row>
    <row r="15" spans="1:2" x14ac:dyDescent="0.2">
      <c r="A15" s="1069"/>
      <c r="B15" s="329" t="s">
        <v>2137</v>
      </c>
    </row>
    <row r="16" spans="1:2" x14ac:dyDescent="0.2">
      <c r="A16" s="1069"/>
    </row>
    <row r="17" spans="1:2" x14ac:dyDescent="0.2">
      <c r="A17" s="1069">
        <v>5</v>
      </c>
      <c r="B17" s="329" t="s">
        <v>2141</v>
      </c>
    </row>
    <row r="18" spans="1:2" x14ac:dyDescent="0.2">
      <c r="A18" s="1069"/>
      <c r="B18" s="329" t="s">
        <v>2138</v>
      </c>
    </row>
    <row r="19" spans="1:2" x14ac:dyDescent="0.2">
      <c r="A19" s="1069"/>
    </row>
    <row r="20" spans="1:2" x14ac:dyDescent="0.2">
      <c r="A20" s="1069">
        <v>6</v>
      </c>
      <c r="B20" s="329" t="s">
        <v>2140</v>
      </c>
    </row>
    <row r="21" spans="1:2" x14ac:dyDescent="0.2">
      <c r="A21" s="1069"/>
      <c r="B21" s="329" t="s">
        <v>2139</v>
      </c>
    </row>
    <row r="22" spans="1:2" x14ac:dyDescent="0.2">
      <c r="A22" s="1069"/>
    </row>
    <row r="23" spans="1:2" x14ac:dyDescent="0.2">
      <c r="A23" s="1069">
        <v>7</v>
      </c>
      <c r="B23" s="329" t="s">
        <v>2143</v>
      </c>
    </row>
    <row r="24" spans="1:2" x14ac:dyDescent="0.2">
      <c r="A24" s="1069"/>
      <c r="B24" s="329" t="s">
        <v>2149</v>
      </c>
    </row>
    <row r="25" spans="1:2" x14ac:dyDescent="0.2">
      <c r="A25" s="1069"/>
      <c r="B25" s="329" t="s">
        <v>2150</v>
      </c>
    </row>
    <row r="26" spans="1:2" x14ac:dyDescent="0.2">
      <c r="A26" s="1069"/>
      <c r="B26" s="329" t="s">
        <v>2151</v>
      </c>
    </row>
    <row r="27" spans="1:2" x14ac:dyDescent="0.2">
      <c r="B27" s="329" t="s">
        <v>2152</v>
      </c>
    </row>
    <row r="28" spans="1:2" x14ac:dyDescent="0.2">
      <c r="B28" s="329" t="s">
        <v>2153</v>
      </c>
    </row>
    <row r="29" spans="1:2" x14ac:dyDescent="0.2">
      <c r="A29" s="1069"/>
      <c r="B29" s="329" t="s">
        <v>2154</v>
      </c>
    </row>
    <row r="30" spans="1:2" x14ac:dyDescent="0.2">
      <c r="B30" s="329" t="s">
        <v>2155</v>
      </c>
    </row>
    <row r="31" spans="1:2" x14ac:dyDescent="0.2">
      <c r="A31" s="1069"/>
      <c r="B31" s="329" t="s">
        <v>2156</v>
      </c>
    </row>
    <row r="32" spans="1:2" x14ac:dyDescent="0.2">
      <c r="A32" s="1069"/>
    </row>
    <row r="33" spans="1:2" x14ac:dyDescent="0.2">
      <c r="A33" s="1069">
        <v>8</v>
      </c>
      <c r="B33" s="329" t="s">
        <v>2144</v>
      </c>
    </row>
    <row r="34" spans="1:2" x14ac:dyDescent="0.2">
      <c r="A34" s="1069"/>
      <c r="B34" s="329" t="s">
        <v>2157</v>
      </c>
    </row>
    <row r="35" spans="1:2" x14ac:dyDescent="0.2">
      <c r="B35" s="329" t="s">
        <v>2158</v>
      </c>
    </row>
    <row r="36" spans="1:2" x14ac:dyDescent="0.2">
      <c r="A36" s="1069"/>
      <c r="B36" s="329" t="s">
        <v>2159</v>
      </c>
    </row>
    <row r="37" spans="1:2" x14ac:dyDescent="0.2">
      <c r="A37" s="1069"/>
    </row>
    <row r="38" spans="1:2" x14ac:dyDescent="0.2">
      <c r="A38" s="1069">
        <v>9</v>
      </c>
      <c r="B38" s="329" t="s">
        <v>2145</v>
      </c>
    </row>
    <row r="39" spans="1:2" x14ac:dyDescent="0.2">
      <c r="A39" s="1069"/>
      <c r="B39" s="329" t="s">
        <v>2146</v>
      </c>
    </row>
    <row r="40" spans="1:2" x14ac:dyDescent="0.2">
      <c r="A40" s="1069"/>
    </row>
    <row r="41" spans="1:2" x14ac:dyDescent="0.2">
      <c r="A41" s="1069">
        <v>10</v>
      </c>
      <c r="B41" s="329" t="s">
        <v>2147</v>
      </c>
    </row>
    <row r="42" spans="1:2" x14ac:dyDescent="0.2">
      <c r="A42" s="1069"/>
      <c r="B42" s="329" t="s">
        <v>2160</v>
      </c>
    </row>
    <row r="43" spans="1:2" x14ac:dyDescent="0.2">
      <c r="A43" s="1069"/>
    </row>
    <row r="44" spans="1:2" x14ac:dyDescent="0.2">
      <c r="A44" s="1069">
        <v>11</v>
      </c>
      <c r="B44" s="329" t="s">
        <v>2148</v>
      </c>
    </row>
    <row r="45" spans="1:2" x14ac:dyDescent="0.2">
      <c r="A45" s="1069"/>
    </row>
    <row r="46" spans="1:2" x14ac:dyDescent="0.2">
      <c r="A46" s="1069"/>
    </row>
    <row r="47" spans="1:2" x14ac:dyDescent="0.2">
      <c r="A47" s="1069"/>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Greenfield CUSD 10</v>
      </c>
    </row>
    <row r="65" spans="2:2" x14ac:dyDescent="0.2">
      <c r="B65" s="1070">
        <f>COVER!A13</f>
        <v>40031010026</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statements.&amp;C33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D92" sqref="D9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differentOddEven="1" scaleWithDoc="0">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30" sqref="G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9" sqref="D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142875</xdr:colOff>
                <xdr:row>1</xdr:row>
                <xdr:rowOff>85725</xdr:rowOff>
              </from>
              <to>
                <xdr:col>1</xdr:col>
                <xdr:colOff>1057275</xdr:colOff>
                <xdr:row>6</xdr:row>
                <xdr:rowOff>47625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1257300</xdr:colOff>
                <xdr:row>1</xdr:row>
                <xdr:rowOff>57150</xdr:rowOff>
              </from>
              <to>
                <xdr:col>1</xdr:col>
                <xdr:colOff>2171700</xdr:colOff>
                <xdr:row>6</xdr:row>
                <xdr:rowOff>19050</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2" r:id="rId8">
          <objectPr defaultSize="0" r:id="rId9">
            <anchor moveWithCells="1">
              <from>
                <xdr:col>1</xdr:col>
                <xdr:colOff>142875</xdr:colOff>
                <xdr:row>6</xdr:row>
                <xdr:rowOff>85725</xdr:rowOff>
              </from>
              <to>
                <xdr:col>1</xdr:col>
                <xdr:colOff>1057275</xdr:colOff>
                <xdr:row>11</xdr:row>
                <xdr:rowOff>47625</xdr:rowOff>
              </to>
            </anchor>
          </objectPr>
        </oleObject>
      </mc:Choice>
      <mc:Fallback>
        <oleObject progId="Acrobat Document" dvAspect="DVASPECT_ICON" shapeId="37892" r:id="rId8"/>
      </mc:Fallback>
    </mc:AlternateContent>
    <mc:AlternateContent xmlns:mc="http://schemas.openxmlformats.org/markup-compatibility/2006">
      <mc:Choice Requires="x14">
        <oleObject progId="Acrobat Document" dvAspect="DVASPECT_ICON" shapeId="37893" r:id="rId10">
          <objectPr defaultSize="0" r:id="rId11">
            <anchor moveWithCells="1">
              <from>
                <xdr:col>1</xdr:col>
                <xdr:colOff>1219200</xdr:colOff>
                <xdr:row>6</xdr:row>
                <xdr:rowOff>95250</xdr:rowOff>
              </from>
              <to>
                <xdr:col>1</xdr:col>
                <xdr:colOff>2133600</xdr:colOff>
                <xdr:row>11</xdr:row>
                <xdr:rowOff>57150</xdr:rowOff>
              </to>
            </anchor>
          </objectPr>
        </oleObject>
      </mc:Choice>
      <mc:Fallback>
        <oleObject progId="Acrobat Document" dvAspect="DVASPECT_ICON" shapeId="3789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topLeftCell="A20" zoomScaleNormal="110" workbookViewId="0">
      <selection activeCell="D22" sqref="D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3924342</v>
      </c>
      <c r="C8" s="1815">
        <f>'Acct Summary 7-8'!D8</f>
        <v>368020</v>
      </c>
      <c r="D8" s="1815">
        <f>'Acct Summary 7-8'!F8</f>
        <v>269566</v>
      </c>
      <c r="E8" s="1815">
        <f>'Acct Summary 7-8'!I8</f>
        <v>35430</v>
      </c>
      <c r="F8" s="1815">
        <f>SUM(B8:E8)</f>
        <v>4597358</v>
      </c>
    </row>
    <row r="9" spans="1:8" s="1079" customFormat="1" ht="14.25" customHeight="1" thickBot="1" x14ac:dyDescent="0.25">
      <c r="A9" s="1078" t="s">
        <v>1369</v>
      </c>
      <c r="B9" s="1816">
        <f>'Acct Summary 7-8'!C17</f>
        <v>3686174</v>
      </c>
      <c r="C9" s="1816">
        <f>'Acct Summary 7-8'!D17</f>
        <v>318736</v>
      </c>
      <c r="D9" s="1816">
        <f>'Acct Summary 7-8'!F17</f>
        <v>286980</v>
      </c>
      <c r="E9" s="1815"/>
      <c r="F9" s="1815">
        <f>SUM(B9:E9)</f>
        <v>4291890</v>
      </c>
    </row>
    <row r="10" spans="1:8" s="1079" customFormat="1" ht="14.25" thickTop="1" thickBot="1" x14ac:dyDescent="0.25">
      <c r="A10" s="1080" t="s">
        <v>1370</v>
      </c>
      <c r="B10" s="1817">
        <f>(B8-B9)</f>
        <v>238168</v>
      </c>
      <c r="C10" s="1817">
        <f>(C8-C9)</f>
        <v>49284</v>
      </c>
      <c r="D10" s="1817">
        <f>(D8-D9)</f>
        <v>-17414</v>
      </c>
      <c r="E10" s="1816">
        <f>(E8-E9)</f>
        <v>35430</v>
      </c>
      <c r="F10" s="1818">
        <f>SUM(F8-F9)</f>
        <v>305468</v>
      </c>
    </row>
    <row r="11" spans="1:8" s="1079" customFormat="1" ht="14.25" thickTop="1" thickBot="1" x14ac:dyDescent="0.25">
      <c r="A11" s="1081" t="s">
        <v>1985</v>
      </c>
      <c r="B11" s="1819">
        <f>'Acct Summary 7-8'!C81</f>
        <v>1065720</v>
      </c>
      <c r="C11" s="1819">
        <f>'Acct Summary 7-8'!D81</f>
        <v>243868</v>
      </c>
      <c r="D11" s="1819">
        <f>'Acct Summary 7-8'!F81</f>
        <v>133414</v>
      </c>
      <c r="E11" s="1819">
        <f>'Acct Summary 7-8'!I81</f>
        <v>583608</v>
      </c>
      <c r="F11" s="1820">
        <f>SUM(B11:E11)</f>
        <v>2026610</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differentOddEven="1" scaleWithDoc="0">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statements.&amp;C39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40031010026</v>
      </c>
    </row>
    <row r="3" spans="1:2" x14ac:dyDescent="0.2">
      <c r="A3" t="s">
        <v>956</v>
      </c>
      <c r="B3" s="138" t="str">
        <f>COVER!A15</f>
        <v>GREENE</v>
      </c>
    </row>
    <row r="4" spans="1:2" x14ac:dyDescent="0.2">
      <c r="A4" t="s">
        <v>1007</v>
      </c>
      <c r="B4" s="138" t="str">
        <f>COVER!A17</f>
        <v>Greenfield CUSD 10</v>
      </c>
    </row>
    <row r="5" spans="1:2" x14ac:dyDescent="0.2">
      <c r="A5" t="s">
        <v>704</v>
      </c>
      <c r="B5" s="138" t="str">
        <f>COVER!A38</f>
        <v>KEVIN BOWMAN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065.040574</v>
      </c>
    </row>
    <row r="16" spans="1:2" x14ac:dyDescent="0.2">
      <c r="A16" t="s">
        <v>422</v>
      </c>
      <c r="B16" s="138" t="str">
        <f>COVER!T13</f>
        <v>SCHEFFEL BOYLE</v>
      </c>
    </row>
    <row r="17" spans="1:2" x14ac:dyDescent="0.2">
      <c r="A17" t="s">
        <v>884</v>
      </c>
      <c r="B17" s="138" t="str">
        <f>COVER!T15</f>
        <v>DANNY PHIPPS, CPA</v>
      </c>
    </row>
    <row r="18" spans="1:2" x14ac:dyDescent="0.2">
      <c r="A18" t="s">
        <v>1150</v>
      </c>
      <c r="B18" s="138" t="str">
        <f>COVER!T17</f>
        <v>106 WEST COUNTY ROAD</v>
      </c>
    </row>
    <row r="19" spans="1:2" x14ac:dyDescent="0.2">
      <c r="A19" t="s">
        <v>886</v>
      </c>
      <c r="B19" s="138" t="str">
        <f>COVER!T25</f>
        <v>danny.phipps@scheffelboyle.com</v>
      </c>
    </row>
    <row r="20" spans="1:2" x14ac:dyDescent="0.2">
      <c r="A20" t="s">
        <v>887</v>
      </c>
      <c r="B20" s="138" t="str">
        <f>COVER!T19</f>
        <v>JERSEYVILLE</v>
      </c>
    </row>
    <row r="21" spans="1:2" x14ac:dyDescent="0.2">
      <c r="A21" t="s">
        <v>479</v>
      </c>
      <c r="B21" s="138" t="str">
        <f>COVER!X19</f>
        <v>IL</v>
      </c>
    </row>
    <row r="22" spans="1:2" x14ac:dyDescent="0.2">
      <c r="A22" t="s">
        <v>888</v>
      </c>
      <c r="B22" s="138">
        <f>COVER!Z19</f>
        <v>62052</v>
      </c>
    </row>
    <row r="23" spans="1:2" x14ac:dyDescent="0.2">
      <c r="A23" t="s">
        <v>1152</v>
      </c>
      <c r="B23" s="138" t="str">
        <f>COVER!T21</f>
        <v>618-498-6841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42101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455063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1066168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448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448</v>
      </c>
      <c r="C91" s="2" t="s">
        <v>573</v>
      </c>
      <c r="D91" s="2" t="str">
        <f t="shared" si="0"/>
        <v>Error?</v>
      </c>
    </row>
    <row r="92" spans="1:4" x14ac:dyDescent="0.2">
      <c r="A92" s="5">
        <v>31</v>
      </c>
      <c r="B92" s="138">
        <f>'Assets-Liab 5-6'!C39</f>
        <v>1065720</v>
      </c>
      <c r="D92" s="2" t="str">
        <f t="shared" si="0"/>
        <v>Error?</v>
      </c>
    </row>
    <row r="93" spans="1:4" x14ac:dyDescent="0.2">
      <c r="A93" s="5">
        <v>32</v>
      </c>
      <c r="B93" s="138">
        <f>'Assets-Liab 5-6'!C41</f>
        <v>1066168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101125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243957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89</v>
      </c>
      <c r="C122" s="2" t="s">
        <v>573</v>
      </c>
      <c r="D122" s="2" t="str">
        <f t="shared" si="0"/>
        <v>Error?</v>
      </c>
    </row>
    <row r="123" spans="1:4" x14ac:dyDescent="0.2">
      <c r="A123" s="5">
        <v>62</v>
      </c>
      <c r="B123" s="138">
        <f>'Assets-Liab 5-6'!D39</f>
        <v>243868</v>
      </c>
      <c r="D123" s="2" t="str">
        <f t="shared" si="0"/>
        <v>Error?</v>
      </c>
    </row>
    <row r="124" spans="1:4" x14ac:dyDescent="0.2">
      <c r="A124" s="5">
        <v>63</v>
      </c>
      <c r="B124" s="138">
        <f>'Assets-Liab 5-6'!D41</f>
        <v>243957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6092</v>
      </c>
      <c r="C139" s="2" t="s">
        <v>573</v>
      </c>
      <c r="D139" s="2" t="str">
        <f t="shared" si="1"/>
        <v>Error?</v>
      </c>
    </row>
    <row r="140" spans="1:4" x14ac:dyDescent="0.2">
      <c r="A140" s="5">
        <v>79</v>
      </c>
      <c r="B140" s="138">
        <f>'Assets-Liab 5-6'!E39</f>
        <v>-6092</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133455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v>
      </c>
      <c r="C169" s="2" t="s">
        <v>573</v>
      </c>
      <c r="D169" s="2" t="str">
        <f t="shared" si="1"/>
        <v>Error?</v>
      </c>
    </row>
    <row r="170" spans="1:4" x14ac:dyDescent="0.2">
      <c r="A170" s="5">
        <v>109</v>
      </c>
      <c r="B170" s="138">
        <f>'Assets-Liab 5-6'!F39</f>
        <v>133414</v>
      </c>
      <c r="D170" s="2" t="str">
        <f t="shared" si="1"/>
        <v>Error?</v>
      </c>
    </row>
    <row r="171" spans="1:4" x14ac:dyDescent="0.2">
      <c r="A171" s="5">
        <v>110</v>
      </c>
      <c r="B171" s="138">
        <f>'Assets-Liab 5-6'!F41</f>
        <v>133455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294726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39</v>
      </c>
      <c r="C188" s="2" t="s">
        <v>573</v>
      </c>
      <c r="D188" s="2" t="str">
        <f t="shared" si="1"/>
        <v>Error?</v>
      </c>
    </row>
    <row r="189" spans="1:4" x14ac:dyDescent="0.2">
      <c r="A189" s="5">
        <v>128</v>
      </c>
      <c r="B189" s="138">
        <f>'Assets-Liab 5-6'!G39</f>
        <v>294687</v>
      </c>
      <c r="D189" s="2" t="str">
        <f t="shared" si="1"/>
        <v>Error?</v>
      </c>
    </row>
    <row r="190" spans="1:4" x14ac:dyDescent="0.2">
      <c r="A190" s="5">
        <v>129</v>
      </c>
      <c r="B190" s="138">
        <f>'Assets-Liab 5-6'!G41</f>
        <v>294726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95367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95367</v>
      </c>
      <c r="D212" s="2" t="str">
        <f t="shared" si="2"/>
        <v>Error?</v>
      </c>
    </row>
    <row r="213" spans="1:4" x14ac:dyDescent="0.2">
      <c r="A213" s="12">
        <v>152</v>
      </c>
      <c r="B213" s="138">
        <f>'Assets-Liab 5-6'!H41</f>
        <v>95367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90712</v>
      </c>
      <c r="D273" s="2" t="str">
        <f t="shared" si="3"/>
        <v>Error?</v>
      </c>
    </row>
    <row r="274" spans="1:4" x14ac:dyDescent="0.2">
      <c r="A274" s="5">
        <v>213</v>
      </c>
      <c r="B274" s="138">
        <f>'Assets-Liab 5-6'!M17</f>
        <v>3697610</v>
      </c>
      <c r="D274" s="2" t="str">
        <f t="shared" si="3"/>
        <v>Error?</v>
      </c>
    </row>
    <row r="275" spans="1:4" x14ac:dyDescent="0.2">
      <c r="A275" s="5">
        <v>214</v>
      </c>
      <c r="B275" s="138">
        <f>'Assets-Liab 5-6'!M18</f>
        <v>160574</v>
      </c>
      <c r="D275" s="2" t="str">
        <f t="shared" si="3"/>
        <v>Error?</v>
      </c>
    </row>
    <row r="276" spans="1:4" x14ac:dyDescent="0.2">
      <c r="A276" s="5">
        <v>215</v>
      </c>
      <c r="B276" s="138">
        <f>'Assets-Liab 5-6'!M19</f>
        <v>2790012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6743658</v>
      </c>
      <c r="C279" s="2" t="s">
        <v>573</v>
      </c>
      <c r="D279" s="2" t="str">
        <f t="shared" si="3"/>
        <v>Error?</v>
      </c>
    </row>
    <row r="280" spans="1:4" x14ac:dyDescent="0.2">
      <c r="A280" s="5">
        <v>219</v>
      </c>
      <c r="B280" s="138">
        <f>'Assets-Liab 5-6'!M40</f>
        <v>6743658</v>
      </c>
      <c r="D280" s="2" t="str">
        <f t="shared" si="3"/>
        <v>Error?</v>
      </c>
    </row>
    <row r="281" spans="1:4" x14ac:dyDescent="0.2">
      <c r="A281" s="5">
        <v>220</v>
      </c>
      <c r="B281" s="138">
        <f>'Assets-Liab 5-6'!M41</f>
        <v>6743658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937000</v>
      </c>
      <c r="D283" s="2" t="str">
        <f t="shared" si="3"/>
        <v>Error?</v>
      </c>
    </row>
    <row r="284" spans="1:4" x14ac:dyDescent="0.2">
      <c r="A284" s="5">
        <v>223</v>
      </c>
      <c r="B284" s="138">
        <f>'Assets-Liab 5-6'!N23</f>
        <v>937000</v>
      </c>
      <c r="C284" s="2" t="s">
        <v>573</v>
      </c>
      <c r="D284" s="2" t="str">
        <f t="shared" si="3"/>
        <v>Error?</v>
      </c>
    </row>
    <row r="285" spans="1:4" x14ac:dyDescent="0.2">
      <c r="A285" s="5">
        <v>224</v>
      </c>
      <c r="B285" s="138">
        <f>'Assets-Liab 5-6'!N36</f>
        <v>937000</v>
      </c>
      <c r="D285" s="2" t="str">
        <f t="shared" si="3"/>
        <v>Error?</v>
      </c>
    </row>
    <row r="286" spans="1:4" x14ac:dyDescent="0.2">
      <c r="A286" s="10">
        <v>225</v>
      </c>
      <c r="D286" s="2" t="str">
        <f t="shared" si="3"/>
        <v>OK</v>
      </c>
    </row>
    <row r="287" spans="1:4" x14ac:dyDescent="0.2">
      <c r="A287" s="5">
        <v>226</v>
      </c>
      <c r="B287" s="138">
        <f>'Assets-Liab 5-6'!N37</f>
        <v>937000</v>
      </c>
      <c r="C287" s="2" t="s">
        <v>573</v>
      </c>
      <c r="D287" s="2" t="str">
        <f t="shared" si="3"/>
        <v>Error?</v>
      </c>
    </row>
    <row r="288" spans="1:4" x14ac:dyDescent="0.2">
      <c r="A288" s="5">
        <v>227</v>
      </c>
      <c r="B288" s="138">
        <f>'Assets-Liab 5-6'!N41</f>
        <v>937000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1418770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176553</v>
      </c>
      <c r="D717" s="2" t="str">
        <f t="shared" si="10"/>
        <v>Error?</v>
      </c>
    </row>
    <row r="718" spans="1:4" x14ac:dyDescent="0.2">
      <c r="A718" s="5">
        <v>657</v>
      </c>
      <c r="B718" s="138">
        <f>'Expenditures 15-22'!C14</f>
        <v>105410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2164958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53294</v>
      </c>
      <c r="D722" s="2" t="str">
        <f t="shared" si="10"/>
        <v>Error?</v>
      </c>
    </row>
    <row r="723" spans="1:4" x14ac:dyDescent="0.2">
      <c r="A723" s="5">
        <v>662</v>
      </c>
      <c r="B723" s="138">
        <f>'Expenditures 15-22'!C38</f>
        <v>18615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36346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108255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32013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32013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81433</v>
      </c>
      <c r="D733" s="2" t="str">
        <f t="shared" si="10"/>
        <v>Error?</v>
      </c>
    </row>
    <row r="734" spans="1:4" x14ac:dyDescent="0.2">
      <c r="A734" s="5">
        <v>673</v>
      </c>
      <c r="B734" s="138">
        <f>'Expenditures 15-22'!C53</f>
        <v>81433</v>
      </c>
      <c r="C734" s="2" t="s">
        <v>573</v>
      </c>
      <c r="D734" s="2" t="str">
        <f t="shared" si="10"/>
        <v>Error?</v>
      </c>
    </row>
    <row r="735" spans="1:4" x14ac:dyDescent="0.2">
      <c r="A735" s="5">
        <v>674</v>
      </c>
      <c r="B735" s="138">
        <f>'Expenditures 15-22'!C55</f>
        <v>150746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150746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98331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54783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153114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525561</v>
      </c>
      <c r="C755" s="2" t="s">
        <v>573</v>
      </c>
      <c r="D755" s="2" t="str">
        <f t="shared" si="10"/>
        <v>Error?</v>
      </c>
    </row>
    <row r="756" spans="1:4" x14ac:dyDescent="0.2">
      <c r="A756" s="5">
        <v>695</v>
      </c>
      <c r="B756" s="138">
        <f>'Expenditures 15-22'!C75</f>
        <v>11026</v>
      </c>
      <c r="D756" s="2" t="str">
        <f t="shared" si="10"/>
        <v>Error?</v>
      </c>
    </row>
    <row r="757" spans="1:4" x14ac:dyDescent="0.2">
      <c r="A757" s="5">
        <v>696</v>
      </c>
      <c r="B757" s="138">
        <f>'Expenditures 15-22'!C114</f>
        <v>2701545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182535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24897</v>
      </c>
      <c r="D775" s="2" t="str">
        <f t="shared" si="11"/>
        <v>Error?</v>
      </c>
    </row>
    <row r="776" spans="1:4" x14ac:dyDescent="0.2">
      <c r="A776" s="5">
        <v>715</v>
      </c>
      <c r="B776" s="138">
        <f>'Expenditures 15-22'!D14</f>
        <v>1200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282707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6635</v>
      </c>
      <c r="D780" s="2" t="str">
        <f t="shared" si="11"/>
        <v>Error?</v>
      </c>
    </row>
    <row r="781" spans="1:4" x14ac:dyDescent="0.2">
      <c r="A781" s="5">
        <v>720</v>
      </c>
      <c r="B781" s="138">
        <f>'Expenditures 15-22'!D38</f>
        <v>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596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7318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10802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10802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32780</v>
      </c>
      <c r="D791" s="2" t="str">
        <f t="shared" si="11"/>
        <v>Error?</v>
      </c>
    </row>
    <row r="792" spans="1:4" x14ac:dyDescent="0.2">
      <c r="A792" s="5">
        <v>731</v>
      </c>
      <c r="B792" s="138">
        <f>'Expenditures 15-22'!D53</f>
        <v>32780</v>
      </c>
      <c r="C792" s="2" t="s">
        <v>573</v>
      </c>
      <c r="D792" s="2" t="str">
        <f t="shared" si="11"/>
        <v>Error?</v>
      </c>
    </row>
    <row r="793" spans="1:4" x14ac:dyDescent="0.2">
      <c r="A793" s="5">
        <v>732</v>
      </c>
      <c r="B793" s="138">
        <f>'Expenditures 15-22'!D55</f>
        <v>39465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39465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29433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5963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35396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125761</v>
      </c>
      <c r="C813" s="2" t="s">
        <v>573</v>
      </c>
      <c r="D813" s="2" t="str">
        <f t="shared" si="11"/>
        <v>Error?</v>
      </c>
    </row>
    <row r="814" spans="1:4" x14ac:dyDescent="0.2">
      <c r="A814" s="5">
        <v>753</v>
      </c>
      <c r="B814" s="138">
        <f>'Expenditures 15-22'!D75</f>
        <v>5353</v>
      </c>
      <c r="D814" s="2" t="str">
        <f t="shared" si="11"/>
        <v>Error?</v>
      </c>
    </row>
    <row r="815" spans="1:4" x14ac:dyDescent="0.2">
      <c r="A815" s="5">
        <v>754</v>
      </c>
      <c r="B815" s="138">
        <f>'Expenditures 15-22'!D114</f>
        <v>413821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40657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3418</v>
      </c>
      <c r="D833" s="2" t="str">
        <f t="shared" si="12"/>
        <v>Error?</v>
      </c>
    </row>
    <row r="834" spans="1:4" x14ac:dyDescent="0.2">
      <c r="A834" s="5">
        <v>773</v>
      </c>
      <c r="B834" s="138">
        <f>'Expenditures 15-22'!E14</f>
        <v>21687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84788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149</v>
      </c>
      <c r="C843" s="2" t="s">
        <v>573</v>
      </c>
      <c r="D843" s="2" t="str">
        <f t="shared" si="12"/>
        <v>Error?</v>
      </c>
    </row>
    <row r="844" spans="1:4" x14ac:dyDescent="0.2">
      <c r="A844" s="5">
        <v>783</v>
      </c>
      <c r="B844" s="138">
        <f>'Expenditures 15-22'!E44</f>
        <v>7396</v>
      </c>
      <c r="D844" s="2" t="str">
        <f t="shared" si="12"/>
        <v>Error?</v>
      </c>
    </row>
    <row r="845" spans="1:4" x14ac:dyDescent="0.2">
      <c r="A845" s="5">
        <v>784</v>
      </c>
      <c r="B845" s="138">
        <f>'Expenditures 15-22'!E45</f>
        <v>38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7434</v>
      </c>
      <c r="C847" s="2" t="s">
        <v>573</v>
      </c>
      <c r="D847" s="2" t="str">
        <f t="shared" si="12"/>
        <v>Error?</v>
      </c>
    </row>
    <row r="848" spans="1:4" x14ac:dyDescent="0.2">
      <c r="A848" s="5">
        <v>787</v>
      </c>
      <c r="B848" s="138">
        <f>'Expenditures 15-22'!E49</f>
        <v>76876</v>
      </c>
      <c r="D848" s="2" t="str">
        <f t="shared" si="12"/>
        <v>Error?</v>
      </c>
    </row>
    <row r="849" spans="1:4" x14ac:dyDescent="0.2">
      <c r="A849" s="5">
        <v>788</v>
      </c>
      <c r="B849" s="138">
        <f>'Expenditures 15-22'!E50</f>
        <v>2365</v>
      </c>
      <c r="D849" s="2" t="str">
        <f t="shared" si="12"/>
        <v>Error?</v>
      </c>
    </row>
    <row r="850" spans="1:4" x14ac:dyDescent="0.2">
      <c r="A850" s="5">
        <v>789</v>
      </c>
      <c r="B850" s="138">
        <f>'Expenditures 15-22'!E53</f>
        <v>79241</v>
      </c>
      <c r="C850" s="2" t="s">
        <v>573</v>
      </c>
      <c r="D850" s="2" t="str">
        <f t="shared" si="12"/>
        <v>Error?</v>
      </c>
    </row>
    <row r="851" spans="1:4" x14ac:dyDescent="0.2">
      <c r="A851" s="5">
        <v>790</v>
      </c>
      <c r="B851" s="138">
        <f>'Expenditures 15-22'!E55</f>
        <v>1179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1179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94917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266151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73924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20185</v>
      </c>
      <c r="D891" s="2" t="str">
        <f t="shared" si="12"/>
        <v>Error?</v>
      </c>
    </row>
    <row r="892" spans="1:4" x14ac:dyDescent="0.2">
      <c r="A892" s="5">
        <v>831</v>
      </c>
      <c r="B892" s="138">
        <f>'Expenditures 15-22'!F14</f>
        <v>26123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124150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1264</v>
      </c>
      <c r="D896" s="2" t="str">
        <f t="shared" si="13"/>
        <v>Error?</v>
      </c>
    </row>
    <row r="897" spans="1:4" x14ac:dyDescent="0.2">
      <c r="A897" s="5">
        <v>836</v>
      </c>
      <c r="B897" s="138">
        <f>'Expenditures 15-22'!F38</f>
        <v>2064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3328</v>
      </c>
      <c r="C901" s="2" t="s">
        <v>573</v>
      </c>
      <c r="D901" s="2" t="str">
        <f t="shared" si="13"/>
        <v>Error?</v>
      </c>
    </row>
    <row r="902" spans="1:4" x14ac:dyDescent="0.2">
      <c r="A902" s="5">
        <v>841</v>
      </c>
      <c r="B902" s="138">
        <f>'Expenditures 15-22'!F44</f>
        <v>333</v>
      </c>
      <c r="D902" s="2" t="str">
        <f t="shared" si="13"/>
        <v>Error?</v>
      </c>
    </row>
    <row r="903" spans="1:4" x14ac:dyDescent="0.2">
      <c r="A903" s="5">
        <v>842</v>
      </c>
      <c r="B903" s="138">
        <f>'Expenditures 15-22'!F45</f>
        <v>8662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8995</v>
      </c>
      <c r="C905" s="2" t="s">
        <v>573</v>
      </c>
      <c r="D905" s="2" t="str">
        <f t="shared" si="13"/>
        <v>Error?</v>
      </c>
    </row>
    <row r="906" spans="1:4" x14ac:dyDescent="0.2">
      <c r="A906" s="5">
        <v>845</v>
      </c>
      <c r="B906" s="138">
        <f>'Expenditures 15-22'!F49</f>
        <v>794</v>
      </c>
      <c r="D906" s="2" t="str">
        <f t="shared" si="13"/>
        <v>Error?</v>
      </c>
    </row>
    <row r="907" spans="1:4" x14ac:dyDescent="0.2">
      <c r="A907" s="5">
        <v>846</v>
      </c>
      <c r="B907" s="138">
        <f>'Expenditures 15-22'!F50</f>
        <v>746</v>
      </c>
      <c r="D907" s="2" t="str">
        <f t="shared" si="13"/>
        <v>Error?</v>
      </c>
    </row>
    <row r="908" spans="1:4" x14ac:dyDescent="0.2">
      <c r="A908" s="5">
        <v>847</v>
      </c>
      <c r="B908" s="138">
        <f>'Expenditures 15-22'!F53</f>
        <v>1540</v>
      </c>
      <c r="C908" s="2" t="s">
        <v>573</v>
      </c>
      <c r="D908" s="2" t="str">
        <f t="shared" si="13"/>
        <v>Error?</v>
      </c>
    </row>
    <row r="909" spans="1:4" x14ac:dyDescent="0.2">
      <c r="A909" s="5">
        <v>848</v>
      </c>
      <c r="B909" s="138">
        <f>'Expenditures 15-22'!F55</f>
        <v>3268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3268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86560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90015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107146</v>
      </c>
      <c r="C929" s="2" t="s">
        <v>573</v>
      </c>
      <c r="D929" s="2" t="str">
        <f t="shared" si="13"/>
        <v>Error?</v>
      </c>
    </row>
    <row r="930" spans="1:4" x14ac:dyDescent="0.2">
      <c r="A930" s="5">
        <v>869</v>
      </c>
      <c r="B930" s="138">
        <f>'Expenditures 15-22'!F75</f>
        <v>1571</v>
      </c>
      <c r="D930" s="2" t="str">
        <f t="shared" si="13"/>
        <v>Error?</v>
      </c>
    </row>
    <row r="931" spans="1:4" x14ac:dyDescent="0.2">
      <c r="A931" s="5">
        <v>870</v>
      </c>
      <c r="B931" s="138">
        <f>'Expenditures 15-22'!F114</f>
        <v>232867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34477</v>
      </c>
      <c r="D949" s="2" t="str">
        <f t="shared" si="13"/>
        <v>Error?</v>
      </c>
    </row>
    <row r="950" spans="1:4" x14ac:dyDescent="0.2">
      <c r="A950" s="5">
        <v>889</v>
      </c>
      <c r="B950" s="138">
        <f>'Expenditures 15-22'!G14</f>
        <v>8548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47622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4215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4215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5608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7249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11464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59086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8254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4183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4183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12554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1728887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259530</v>
      </c>
      <c r="C1105" s="2" t="s">
        <v>573</v>
      </c>
      <c r="D1105" s="2" t="str">
        <f t="shared" si="16"/>
        <v>Error?</v>
      </c>
    </row>
    <row r="1106" spans="1:4" x14ac:dyDescent="0.2">
      <c r="A1106" s="5">
        <v>1045</v>
      </c>
      <c r="B1106" s="138">
        <f>'Expenditures 15-22'!K14</f>
        <v>163040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2712701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61193</v>
      </c>
      <c r="C1110" s="2" t="s">
        <v>573</v>
      </c>
      <c r="D1110" s="2" t="str">
        <f t="shared" si="16"/>
        <v>Error?</v>
      </c>
    </row>
    <row r="1111" spans="1:4" x14ac:dyDescent="0.2">
      <c r="A1111" s="5">
        <v>1050</v>
      </c>
      <c r="B1111" s="138">
        <f>'Expenditures 15-22'!K38</f>
        <v>20915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36942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119050</v>
      </c>
      <c r="C1115" s="2" t="s">
        <v>573</v>
      </c>
      <c r="D1115" s="2" t="str">
        <f t="shared" si="16"/>
        <v>Error?</v>
      </c>
    </row>
    <row r="1116" spans="1:4" x14ac:dyDescent="0.2">
      <c r="A1116" s="5">
        <v>1055</v>
      </c>
      <c r="B1116" s="138">
        <f>'Expenditures 15-22'!K44</f>
        <v>7729</v>
      </c>
      <c r="C1116" s="2" t="s">
        <v>573</v>
      </c>
      <c r="D1116" s="2" t="str">
        <f t="shared" si="16"/>
        <v>Error?</v>
      </c>
    </row>
    <row r="1117" spans="1:4" x14ac:dyDescent="0.2">
      <c r="A1117" s="5">
        <v>1056</v>
      </c>
      <c r="B1117" s="138">
        <f>'Expenditures 15-22'!K45</f>
        <v>55730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63459</v>
      </c>
      <c r="C1119" s="2" t="s">
        <v>573</v>
      </c>
      <c r="D1119" s="2" t="str">
        <f t="shared" si="16"/>
        <v>Error?</v>
      </c>
    </row>
    <row r="1120" spans="1:4" x14ac:dyDescent="0.2">
      <c r="A1120" s="5">
        <v>1059</v>
      </c>
      <c r="B1120" s="138">
        <f>'Expenditures 15-22'!K49</f>
        <v>81853</v>
      </c>
      <c r="C1120" s="2" t="s">
        <v>573</v>
      </c>
      <c r="D1120" s="2" t="str">
        <f t="shared" si="16"/>
        <v>Error?</v>
      </c>
    </row>
    <row r="1121" spans="1:4" x14ac:dyDescent="0.2">
      <c r="A1121" s="5">
        <v>1060</v>
      </c>
      <c r="B1121" s="138">
        <f>'Expenditures 15-22'!K50</f>
        <v>117324</v>
      </c>
      <c r="C1121" s="2" t="s">
        <v>573</v>
      </c>
      <c r="D1121" s="2" t="str">
        <f t="shared" si="16"/>
        <v>Error?</v>
      </c>
    </row>
    <row r="1122" spans="1:4" x14ac:dyDescent="0.2">
      <c r="A1122" s="5">
        <v>1061</v>
      </c>
      <c r="B1122" s="138">
        <f>'Expenditures 15-22'!K53</f>
        <v>199177</v>
      </c>
      <c r="C1122" s="2" t="s">
        <v>573</v>
      </c>
      <c r="D1122" s="2" t="str">
        <f t="shared" si="16"/>
        <v>Error?</v>
      </c>
    </row>
    <row r="1123" spans="1:4" x14ac:dyDescent="0.2">
      <c r="A1123" s="5">
        <v>1062</v>
      </c>
      <c r="B1123" s="138">
        <f>'Expenditures 15-22'!K55</f>
        <v>194658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194658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141245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151488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292733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869077</v>
      </c>
      <c r="C1143" s="2" t="s">
        <v>573</v>
      </c>
      <c r="D1143" s="2" t="str">
        <f t="shared" si="16"/>
        <v>Error?</v>
      </c>
    </row>
    <row r="1144" spans="1:4" x14ac:dyDescent="0.2">
      <c r="A1144" s="5">
        <v>1083</v>
      </c>
      <c r="B1144" s="138">
        <f>'Expenditures 15-22'!K75</f>
        <v>17950</v>
      </c>
      <c r="C1144" s="2" t="s">
        <v>573</v>
      </c>
      <c r="D1144" s="2" t="str">
        <f t="shared" si="16"/>
        <v>Error?</v>
      </c>
    </row>
    <row r="1145" spans="1:4" x14ac:dyDescent="0.2">
      <c r="A1145" s="5">
        <v>1084</v>
      </c>
      <c r="B1145" s="138">
        <f>'Expenditures 15-22'!K102</f>
        <v>86446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3686174</v>
      </c>
      <c r="C1152" s="2" t="s">
        <v>573</v>
      </c>
      <c r="D1152" s="2" t="str">
        <f t="shared" si="17"/>
        <v>Error?</v>
      </c>
    </row>
    <row r="1153" spans="1:4" x14ac:dyDescent="0.2">
      <c r="A1153" s="5">
        <v>1092</v>
      </c>
      <c r="B1153" s="138">
        <f>'Expenditures 15-22'!K115</f>
        <v>238168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133003</v>
      </c>
      <c r="D1221" s="2" t="str">
        <f t="shared" si="18"/>
        <v>Error?</v>
      </c>
    </row>
    <row r="1222" spans="1:4" x14ac:dyDescent="0.2">
      <c r="A1222" s="10">
        <v>1161</v>
      </c>
      <c r="D1222" s="2" t="str">
        <f t="shared" si="18"/>
        <v>OK</v>
      </c>
    </row>
    <row r="1223" spans="1:4" x14ac:dyDescent="0.2">
      <c r="A1223" s="5">
        <v>1162</v>
      </c>
      <c r="B1223" s="138">
        <f>'Expenditures 15-22'!C127</f>
        <v>133003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133003</v>
      </c>
      <c r="C1225" s="2" t="s">
        <v>573</v>
      </c>
      <c r="D1225" s="2" t="str">
        <f t="shared" si="18"/>
        <v>Error?</v>
      </c>
    </row>
    <row r="1226" spans="1:4" x14ac:dyDescent="0.2">
      <c r="A1226" s="5">
        <v>1165</v>
      </c>
      <c r="B1226" s="138">
        <f>'Expenditures 15-22'!C151</f>
        <v>133003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14660</v>
      </c>
      <c r="D1229" s="2" t="str">
        <f t="shared" si="18"/>
        <v>Error?</v>
      </c>
    </row>
    <row r="1230" spans="1:4" x14ac:dyDescent="0.2">
      <c r="A1230" s="10">
        <v>1169</v>
      </c>
      <c r="D1230" s="2" t="str">
        <f t="shared" si="18"/>
        <v>OK</v>
      </c>
    </row>
    <row r="1231" spans="1:4" x14ac:dyDescent="0.2">
      <c r="A1231" s="5">
        <v>1170</v>
      </c>
      <c r="B1231" s="138">
        <f>'Expenditures 15-22'!D127</f>
        <v>14660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14660</v>
      </c>
      <c r="C1233" s="2" t="s">
        <v>573</v>
      </c>
      <c r="D1233" s="2" t="str">
        <f t="shared" si="18"/>
        <v>Error?</v>
      </c>
    </row>
    <row r="1234" spans="1:4" x14ac:dyDescent="0.2">
      <c r="A1234" s="5">
        <v>1173</v>
      </c>
      <c r="B1234" s="138">
        <f>'Expenditures 15-22'!D151</f>
        <v>14660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61511</v>
      </c>
      <c r="D1237" s="2" t="str">
        <f t="shared" si="18"/>
        <v>Error?</v>
      </c>
    </row>
    <row r="1238" spans="1:4" x14ac:dyDescent="0.2">
      <c r="A1238" s="10">
        <v>1177</v>
      </c>
      <c r="D1238" s="2" t="str">
        <f t="shared" si="18"/>
        <v>OK</v>
      </c>
    </row>
    <row r="1239" spans="1:4" x14ac:dyDescent="0.2">
      <c r="A1239" s="5">
        <v>1178</v>
      </c>
      <c r="B1239" s="138">
        <f>'Expenditures 15-22'!E127</f>
        <v>61511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61511</v>
      </c>
      <c r="C1241" s="2" t="s">
        <v>573</v>
      </c>
      <c r="D1241" s="2" t="str">
        <f t="shared" si="18"/>
        <v>Error?</v>
      </c>
    </row>
    <row r="1242" spans="1:4" x14ac:dyDescent="0.2">
      <c r="A1242" s="5">
        <v>1181</v>
      </c>
      <c r="B1242" s="138">
        <f>'Expenditures 15-22'!E151</f>
        <v>61511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105741</v>
      </c>
      <c r="D1245" s="2" t="str">
        <f t="shared" si="18"/>
        <v>Error?</v>
      </c>
    </row>
    <row r="1246" spans="1:4" x14ac:dyDescent="0.2">
      <c r="A1246" s="10">
        <v>1185</v>
      </c>
      <c r="D1246" s="2" t="str">
        <f t="shared" si="18"/>
        <v>OK</v>
      </c>
    </row>
    <row r="1247" spans="1:4" x14ac:dyDescent="0.2">
      <c r="A1247" s="5">
        <v>1186</v>
      </c>
      <c r="B1247" s="138">
        <f>'Expenditures 15-22'!F127</f>
        <v>105741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105741</v>
      </c>
      <c r="C1249" s="2" t="s">
        <v>573</v>
      </c>
      <c r="D1249" s="2" t="str">
        <f t="shared" si="18"/>
        <v>Error?</v>
      </c>
    </row>
    <row r="1250" spans="1:4" x14ac:dyDescent="0.2">
      <c r="A1250" s="5">
        <v>1189</v>
      </c>
      <c r="B1250" s="138">
        <f>'Expenditures 15-22'!F151</f>
        <v>105741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2586</v>
      </c>
      <c r="C1258" s="2" t="s">
        <v>573</v>
      </c>
      <c r="D1258" s="2" t="str">
        <f t="shared" si="18"/>
        <v>Error?</v>
      </c>
    </row>
    <row r="1259" spans="1:4" x14ac:dyDescent="0.2">
      <c r="A1259" s="5">
        <v>1198</v>
      </c>
      <c r="B1259" s="138">
        <f>'Expenditures 15-22'!G151</f>
        <v>2586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1235</v>
      </c>
      <c r="D1262" s="2" t="str">
        <f t="shared" si="18"/>
        <v>Error?</v>
      </c>
    </row>
    <row r="1263" spans="1:4" x14ac:dyDescent="0.2">
      <c r="A1263" s="10">
        <v>1202</v>
      </c>
      <c r="D1263" s="2" t="str">
        <f t="shared" si="18"/>
        <v>OK</v>
      </c>
    </row>
    <row r="1264" spans="1:4" x14ac:dyDescent="0.2">
      <c r="A1264" s="5">
        <v>1203</v>
      </c>
      <c r="B1264" s="138">
        <f>'Expenditures 15-22'!H127</f>
        <v>1235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1235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1235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318736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318736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318736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318736</v>
      </c>
      <c r="C1288" s="2" t="s">
        <v>573</v>
      </c>
      <c r="D1288" s="2" t="str">
        <f t="shared" si="19"/>
        <v>Error?</v>
      </c>
    </row>
    <row r="1289" spans="1:4" x14ac:dyDescent="0.2">
      <c r="A1289" s="5">
        <v>1228</v>
      </c>
      <c r="B1289" s="138">
        <f>'Expenditures 15-22'!K152</f>
        <v>49284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38137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143000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181137</v>
      </c>
      <c r="C1317" s="2" t="s">
        <v>573</v>
      </c>
      <c r="D1317" s="2" t="str">
        <f t="shared" si="19"/>
        <v>Error?</v>
      </c>
    </row>
    <row r="1318" spans="1:4" x14ac:dyDescent="0.2">
      <c r="A1318" s="5">
        <v>1257</v>
      </c>
      <c r="B1318" s="138">
        <f>'Expenditures 15-22'!H174</f>
        <v>181137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38137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143000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181137</v>
      </c>
      <c r="C1331" s="2" t="s">
        <v>573</v>
      </c>
      <c r="D1331" s="2" t="str">
        <f t="shared" si="19"/>
        <v>Error?</v>
      </c>
    </row>
    <row r="1332" spans="1:4" x14ac:dyDescent="0.2">
      <c r="A1332" s="5">
        <v>1271</v>
      </c>
      <c r="B1332" s="138">
        <f>'Expenditures 15-22'!K174</f>
        <v>181137</v>
      </c>
      <c r="C1332" s="2" t="s">
        <v>573</v>
      </c>
      <c r="D1332" s="2" t="str">
        <f t="shared" si="19"/>
        <v>Error?</v>
      </c>
    </row>
    <row r="1333" spans="1:4" x14ac:dyDescent="0.2">
      <c r="A1333" s="5">
        <v>1272</v>
      </c>
      <c r="B1333" s="138">
        <f>'Expenditures 15-22'!K175</f>
        <v>-71002</v>
      </c>
      <c r="C1333" s="2" t="s">
        <v>573</v>
      </c>
      <c r="D1333" s="2" t="str">
        <f t="shared" si="19"/>
        <v>Error?</v>
      </c>
    </row>
    <row r="1334" spans="1:4" x14ac:dyDescent="0.2">
      <c r="A1334" s="10">
        <v>1273</v>
      </c>
      <c r="D1334" s="2" t="str">
        <f t="shared" si="19"/>
        <v>OK</v>
      </c>
    </row>
    <row r="1335" spans="1:4" x14ac:dyDescent="0.2">
      <c r="A1335" s="5">
        <v>1274</v>
      </c>
      <c r="B1335" s="138">
        <f>'Expenditures 15-22'!C182</f>
        <v>119455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119455</v>
      </c>
      <c r="C1339" s="2" t="s">
        <v>573</v>
      </c>
      <c r="D1339" s="2" t="str">
        <f t="shared" si="19"/>
        <v>Error?</v>
      </c>
    </row>
    <row r="1340" spans="1:4" x14ac:dyDescent="0.2">
      <c r="A1340" s="5">
        <v>1279</v>
      </c>
      <c r="B1340" s="138">
        <f>'Expenditures 15-22'!C210</f>
        <v>119455</v>
      </c>
      <c r="C1340" s="2" t="s">
        <v>573</v>
      </c>
      <c r="D1340" s="2" t="str">
        <f t="shared" si="19"/>
        <v>Error?</v>
      </c>
    </row>
    <row r="1341" spans="1:4" x14ac:dyDescent="0.2">
      <c r="A1341" s="5">
        <v>1280</v>
      </c>
      <c r="B1341" s="138">
        <f>'Expenditures 15-22'!D182</f>
        <v>20586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20586</v>
      </c>
      <c r="C1345" s="2" t="s">
        <v>573</v>
      </c>
      <c r="D1345" s="2" t="str">
        <f t="shared" si="20"/>
        <v>Error?</v>
      </c>
    </row>
    <row r="1346" spans="1:4" x14ac:dyDescent="0.2">
      <c r="A1346" s="5">
        <v>1285</v>
      </c>
      <c r="B1346" s="138">
        <f>'Expenditures 15-22'!D210</f>
        <v>20586</v>
      </c>
      <c r="C1346" s="2" t="s">
        <v>573</v>
      </c>
      <c r="D1346" s="2" t="str">
        <f t="shared" si="20"/>
        <v>Error?</v>
      </c>
    </row>
    <row r="1347" spans="1:4" x14ac:dyDescent="0.2">
      <c r="A1347" s="5">
        <v>1286</v>
      </c>
      <c r="B1347" s="138">
        <f>'Expenditures 15-22'!E182</f>
        <v>18696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18696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18696</v>
      </c>
      <c r="C1353" s="2" t="s">
        <v>573</v>
      </c>
      <c r="D1353" s="2" t="str">
        <f t="shared" si="20"/>
        <v>Error?</v>
      </c>
    </row>
    <row r="1354" spans="1:4" x14ac:dyDescent="0.2">
      <c r="A1354" s="5">
        <v>1293</v>
      </c>
      <c r="B1354" s="138">
        <f>'Expenditures 15-22'!F182</f>
        <v>51437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51437</v>
      </c>
      <c r="C1358" s="2" t="s">
        <v>573</v>
      </c>
      <c r="D1358" s="2" t="str">
        <f t="shared" si="20"/>
        <v>Error?</v>
      </c>
    </row>
    <row r="1359" spans="1:4" x14ac:dyDescent="0.2">
      <c r="A1359" s="5">
        <v>1298</v>
      </c>
      <c r="B1359" s="138">
        <f>'Expenditures 15-22'!F210</f>
        <v>51437</v>
      </c>
      <c r="C1359" s="2" t="s">
        <v>573</v>
      </c>
      <c r="D1359" s="2" t="str">
        <f t="shared" si="20"/>
        <v>Error?</v>
      </c>
    </row>
    <row r="1360" spans="1:4" x14ac:dyDescent="0.2">
      <c r="A1360" s="5">
        <v>1299</v>
      </c>
      <c r="B1360" s="138">
        <f>'Expenditures 15-22'!G182</f>
        <v>76806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76806</v>
      </c>
      <c r="C1364" s="2" t="s">
        <v>573</v>
      </c>
      <c r="D1364" s="2" t="str">
        <f t="shared" si="20"/>
        <v>Error?</v>
      </c>
    </row>
    <row r="1365" spans="1:4" x14ac:dyDescent="0.2">
      <c r="A1365" s="5">
        <v>1304</v>
      </c>
      <c r="B1365" s="138">
        <f>'Expenditures 15-22'!G210</f>
        <v>76806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286980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286980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286980</v>
      </c>
      <c r="C1388" s="2" t="s">
        <v>573</v>
      </c>
      <c r="D1388" s="2" t="str">
        <f t="shared" si="20"/>
        <v>Error?</v>
      </c>
    </row>
    <row r="1389" spans="1:4" x14ac:dyDescent="0.2">
      <c r="A1389" s="5">
        <v>1328</v>
      </c>
      <c r="B1389" s="138">
        <f>'Expenditures 15-22'!K211</f>
        <v>-17414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2482</v>
      </c>
      <c r="D1407" s="2" t="str">
        <f t="shared" ref="D1407:D1470" si="21">IF(ISBLANK(B1407),"OK",IF(A1407-B1407=0,"OK","Error?"))</f>
        <v>Error?</v>
      </c>
    </row>
    <row r="1408" spans="1:4" x14ac:dyDescent="0.2">
      <c r="A1408" s="5">
        <v>1347</v>
      </c>
      <c r="B1408" s="138">
        <f>'Expenditures 15-22'!D223</f>
        <v>3499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53444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759</v>
      </c>
      <c r="D1412" s="2" t="str">
        <f t="shared" si="21"/>
        <v>Error?</v>
      </c>
    </row>
    <row r="1413" spans="1:4" x14ac:dyDescent="0.2">
      <c r="A1413" s="5">
        <v>1352</v>
      </c>
      <c r="B1413" s="138">
        <f>'Expenditures 15-22'!D234</f>
        <v>4927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6212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2464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2464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1535</v>
      </c>
      <c r="D1423" s="2" t="str">
        <f t="shared" si="21"/>
        <v>Error?</v>
      </c>
    </row>
    <row r="1424" spans="1:4" x14ac:dyDescent="0.2">
      <c r="A1424" s="5">
        <v>1363</v>
      </c>
      <c r="B1424" s="138">
        <f>'Expenditures 15-22'!D257</f>
        <v>1535</v>
      </c>
      <c r="C1424" s="2" t="s">
        <v>573</v>
      </c>
      <c r="D1424" s="2" t="str">
        <f t="shared" si="21"/>
        <v>Error?</v>
      </c>
    </row>
    <row r="1425" spans="1:4" x14ac:dyDescent="0.2">
      <c r="A1425" s="5">
        <v>1364</v>
      </c>
      <c r="B1425" s="138">
        <f>'Expenditures 15-22'!D259</f>
        <v>9931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9931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17903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25812</v>
      </c>
      <c r="D1431" s="2" t="str">
        <f t="shared" si="21"/>
        <v>Error?</v>
      </c>
    </row>
    <row r="1432" spans="1:4" x14ac:dyDescent="0.2">
      <c r="A1432" s="5">
        <v>1371</v>
      </c>
      <c r="B1432" s="138">
        <f>'Expenditures 15-22'!D267</f>
        <v>20462</v>
      </c>
      <c r="D1432" s="2" t="str">
        <f t="shared" si="21"/>
        <v>Error?</v>
      </c>
    </row>
    <row r="1433" spans="1:4" x14ac:dyDescent="0.2">
      <c r="A1433" s="5">
        <v>1372</v>
      </c>
      <c r="B1433" s="138">
        <f>'Expenditures 15-22'!D268</f>
        <v>11320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75497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95639</v>
      </c>
      <c r="C1446" s="2" t="s">
        <v>573</v>
      </c>
      <c r="D1446" s="2" t="str">
        <f t="shared" si="21"/>
        <v>Error?</v>
      </c>
    </row>
    <row r="1447" spans="1:4" x14ac:dyDescent="0.2">
      <c r="A1447" s="5">
        <v>1386</v>
      </c>
      <c r="B1447" s="138">
        <f>'Expenditures 15-22'!D280</f>
        <v>1970</v>
      </c>
      <c r="D1447" s="2" t="str">
        <f t="shared" si="21"/>
        <v>Error?</v>
      </c>
    </row>
    <row r="1448" spans="1:4" x14ac:dyDescent="0.2">
      <c r="A1448" s="5">
        <v>1387</v>
      </c>
      <c r="B1448" s="138">
        <f>'Expenditures 15-22'!D295</f>
        <v>151053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2482</v>
      </c>
      <c r="C1471" s="2" t="s">
        <v>573</v>
      </c>
      <c r="D1471" s="2" t="str">
        <f t="shared" ref="D1471:D1534" si="22">IF(ISBLANK(B1471),"OK",IF(A1471-B1471=0,"OK","Error?"))</f>
        <v>Error?</v>
      </c>
    </row>
    <row r="1472" spans="1:4" x14ac:dyDescent="0.2">
      <c r="A1472" s="5">
        <v>1411</v>
      </c>
      <c r="B1472" s="138">
        <f>'Expenditures 15-22'!K223</f>
        <v>3499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53444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759</v>
      </c>
      <c r="C1476" s="2" t="s">
        <v>573</v>
      </c>
      <c r="D1476" s="2" t="str">
        <f t="shared" si="22"/>
        <v>Error?</v>
      </c>
    </row>
    <row r="1477" spans="1:4" x14ac:dyDescent="0.2">
      <c r="A1477" s="5">
        <v>1416</v>
      </c>
      <c r="B1477" s="138">
        <f>'Expenditures 15-22'!K234</f>
        <v>4927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526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6212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2464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2464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1535</v>
      </c>
      <c r="C1487" s="2" t="s">
        <v>573</v>
      </c>
      <c r="D1487" s="2" t="str">
        <f t="shared" si="22"/>
        <v>Error?</v>
      </c>
    </row>
    <row r="1488" spans="1:4" x14ac:dyDescent="0.2">
      <c r="A1488" s="5">
        <v>1427</v>
      </c>
      <c r="B1488" s="138">
        <f>'Expenditures 15-22'!K257</f>
        <v>1535</v>
      </c>
      <c r="C1488" s="2" t="s">
        <v>573</v>
      </c>
      <c r="D1488" s="2" t="str">
        <f t="shared" si="22"/>
        <v>Error?</v>
      </c>
    </row>
    <row r="1489" spans="1:4" x14ac:dyDescent="0.2">
      <c r="A1489" s="5">
        <v>1428</v>
      </c>
      <c r="B1489" s="138">
        <f>'Expenditures 15-22'!K259</f>
        <v>9931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9931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17903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25812</v>
      </c>
      <c r="C1495" s="2" t="s">
        <v>573</v>
      </c>
      <c r="D1495" s="2" t="str">
        <f t="shared" si="22"/>
        <v>Error?</v>
      </c>
    </row>
    <row r="1496" spans="1:4" x14ac:dyDescent="0.2">
      <c r="A1496" s="5">
        <v>1435</v>
      </c>
      <c r="B1496" s="138">
        <f>'Expenditures 15-22'!K267</f>
        <v>20462</v>
      </c>
      <c r="C1496" s="2" t="s">
        <v>573</v>
      </c>
      <c r="D1496" s="2" t="str">
        <f t="shared" si="22"/>
        <v>Error?</v>
      </c>
    </row>
    <row r="1497" spans="1:4" x14ac:dyDescent="0.2">
      <c r="A1497" s="5">
        <v>1436</v>
      </c>
      <c r="B1497" s="138">
        <f>'Expenditures 15-22'!K268</f>
        <v>11320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75497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95639</v>
      </c>
      <c r="C1510" s="2" t="s">
        <v>573</v>
      </c>
      <c r="D1510" s="2" t="str">
        <f t="shared" si="22"/>
        <v>Error?</v>
      </c>
    </row>
    <row r="1511" spans="1:4" x14ac:dyDescent="0.2">
      <c r="A1511" s="5">
        <v>1450</v>
      </c>
      <c r="B1511" s="138">
        <f>'Expenditures 15-22'!K280</f>
        <v>1970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151053</v>
      </c>
      <c r="C1517" s="2" t="s">
        <v>573</v>
      </c>
      <c r="D1517" s="2" t="str">
        <f t="shared" si="22"/>
        <v>Error?</v>
      </c>
    </row>
    <row r="1518" spans="1:4" x14ac:dyDescent="0.2">
      <c r="A1518" s="5">
        <v>1457</v>
      </c>
      <c r="B1518" s="138">
        <f>'Expenditures 15-22'!K296</f>
        <v>8938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33351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33351</v>
      </c>
      <c r="C1535" s="2" t="s">
        <v>573</v>
      </c>
      <c r="D1535" s="2" t="str">
        <f t="shared" ref="D1535:D1598" si="23">IF(ISBLANK(B1535),"OK",IF(A1535-B1535=0,"OK","Error?"))</f>
        <v>Error?</v>
      </c>
    </row>
    <row r="1536" spans="1:4" x14ac:dyDescent="0.2">
      <c r="A1536" s="5">
        <v>1475</v>
      </c>
      <c r="B1536" s="138">
        <f>'Expenditures 15-22'!E312</f>
        <v>33351</v>
      </c>
      <c r="C1536" s="2" t="s">
        <v>573</v>
      </c>
      <c r="D1536" s="2" t="str">
        <f t="shared" si="23"/>
        <v>Error?</v>
      </c>
    </row>
    <row r="1537" spans="1:4" x14ac:dyDescent="0.2">
      <c r="A1537" s="5">
        <v>1476</v>
      </c>
      <c r="B1537" s="138">
        <f>'Expenditures 15-22'!F301</f>
        <v>10430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10430</v>
      </c>
      <c r="C1541" s="2" t="s">
        <v>573</v>
      </c>
      <c r="D1541" s="2" t="str">
        <f t="shared" si="23"/>
        <v>Error?</v>
      </c>
    </row>
    <row r="1542" spans="1:4" x14ac:dyDescent="0.2">
      <c r="A1542" s="5">
        <v>1481</v>
      </c>
      <c r="B1542" s="138">
        <f>'Expenditures 15-22'!F312</f>
        <v>10430</v>
      </c>
      <c r="C1542" s="2" t="s">
        <v>573</v>
      </c>
      <c r="D1542" s="2" t="str">
        <f t="shared" si="23"/>
        <v>Error?</v>
      </c>
    </row>
    <row r="1543" spans="1:4" x14ac:dyDescent="0.2">
      <c r="A1543" s="5">
        <v>1482</v>
      </c>
      <c r="B1543" s="138">
        <f>'Expenditures 15-22'!G301</f>
        <v>129673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129673</v>
      </c>
      <c r="C1547" s="2" t="s">
        <v>573</v>
      </c>
      <c r="D1547" s="2" t="str">
        <f t="shared" si="23"/>
        <v>Error?</v>
      </c>
    </row>
    <row r="1548" spans="1:4" x14ac:dyDescent="0.2">
      <c r="A1548" s="5">
        <v>1487</v>
      </c>
      <c r="B1548" s="138">
        <f>'Expenditures 15-22'!G312</f>
        <v>129673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173454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173454</v>
      </c>
      <c r="C1559" s="2" t="s">
        <v>573</v>
      </c>
      <c r="D1559" s="2" t="str">
        <f t="shared" si="23"/>
        <v>Error?</v>
      </c>
    </row>
    <row r="1560" spans="1:4" x14ac:dyDescent="0.2">
      <c r="A1560" s="5">
        <v>1499</v>
      </c>
      <c r="B1560" s="138">
        <f>'Expenditures 15-22'!K312</f>
        <v>173454</v>
      </c>
      <c r="C1560" s="2" t="s">
        <v>573</v>
      </c>
      <c r="D1560" s="2" t="str">
        <f t="shared" si="23"/>
        <v>Error?</v>
      </c>
    </row>
    <row r="1561" spans="1:4" x14ac:dyDescent="0.2">
      <c r="A1561" s="5">
        <v>1500</v>
      </c>
      <c r="B1561" s="138">
        <f>'Expenditures 15-22'!K313</f>
        <v>-24798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827552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1065720</v>
      </c>
      <c r="C1630" s="2" t="s">
        <v>573</v>
      </c>
      <c r="D1630" s="2" t="str">
        <f t="shared" si="24"/>
        <v>Error?</v>
      </c>
    </row>
    <row r="1631" spans="1:4" x14ac:dyDescent="0.2">
      <c r="A1631" s="5">
        <v>1570</v>
      </c>
      <c r="B1631" s="138">
        <f>'Acct Summary 7-8'!D79</f>
        <v>194584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243868</v>
      </c>
      <c r="C1644" s="2" t="s">
        <v>573</v>
      </c>
      <c r="D1644" s="2" t="str">
        <f t="shared" si="24"/>
        <v>Error?</v>
      </c>
    </row>
    <row r="1645" spans="1:4" x14ac:dyDescent="0.2">
      <c r="A1645" s="5">
        <v>1584</v>
      </c>
      <c r="B1645" s="138">
        <f>'Acct Summary 7-8'!E79</f>
        <v>-6002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-6092</v>
      </c>
      <c r="C1658" s="2" t="s">
        <v>573</v>
      </c>
      <c r="D1658" s="2" t="str">
        <f t="shared" si="24"/>
        <v>Error?</v>
      </c>
    </row>
    <row r="1659" spans="1:4" x14ac:dyDescent="0.2">
      <c r="A1659" s="5">
        <v>1598</v>
      </c>
      <c r="B1659" s="138">
        <f>'Acct Summary 7-8'!F79</f>
        <v>150828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133414</v>
      </c>
      <c r="C1672" s="2" t="s">
        <v>573</v>
      </c>
      <c r="D1672" s="2" t="str">
        <f t="shared" si="25"/>
        <v>Error?</v>
      </c>
    </row>
    <row r="1673" spans="1:4" x14ac:dyDescent="0.2">
      <c r="A1673" s="5">
        <v>1612</v>
      </c>
      <c r="B1673" s="138">
        <f>'Acct Summary 7-8'!G79</f>
        <v>285749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294687</v>
      </c>
      <c r="C1686" s="2" t="s">
        <v>573</v>
      </c>
      <c r="D1686" s="2" t="str">
        <f t="shared" si="25"/>
        <v>Error?</v>
      </c>
    </row>
    <row r="1687" spans="1:4" x14ac:dyDescent="0.2">
      <c r="A1687" s="5">
        <v>1626</v>
      </c>
      <c r="B1687" s="138">
        <f>'Acct Summary 7-8'!H79</f>
        <v>191077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95367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1802822</v>
      </c>
      <c r="C1744" s="2" t="s">
        <v>573</v>
      </c>
      <c r="D1744" s="2" t="str">
        <f t="shared" si="26"/>
        <v>Error?</v>
      </c>
    </row>
    <row r="1745" spans="1:5" x14ac:dyDescent="0.2">
      <c r="A1745" s="5">
        <v>1684</v>
      </c>
      <c r="B1745" s="138">
        <f>'Tax Sched 23'!B5</f>
        <v>348401</v>
      </c>
      <c r="C1745" s="2" t="s">
        <v>573</v>
      </c>
      <c r="D1745" s="2" t="str">
        <f t="shared" si="26"/>
        <v>Error?</v>
      </c>
    </row>
    <row r="1746" spans="1:5" x14ac:dyDescent="0.2">
      <c r="A1746" s="5">
        <v>1685</v>
      </c>
      <c r="B1746" s="138">
        <f>'Tax Sched 23'!B6</f>
        <v>110028</v>
      </c>
      <c r="C1746" s="2" t="s">
        <v>573</v>
      </c>
      <c r="D1746" s="2" t="str">
        <f t="shared" si="26"/>
        <v>Error?</v>
      </c>
    </row>
    <row r="1747" spans="1:5" x14ac:dyDescent="0.2">
      <c r="A1747" s="5">
        <v>1686</v>
      </c>
      <c r="B1747" s="138">
        <f>'Tax Sched 23'!B7</f>
        <v>159428</v>
      </c>
      <c r="C1747" s="2" t="s">
        <v>573</v>
      </c>
      <c r="D1747" s="2" t="str">
        <f t="shared" si="26"/>
        <v>Error?</v>
      </c>
    </row>
    <row r="1748" spans="1:5" x14ac:dyDescent="0.2">
      <c r="A1748" s="5">
        <v>1687</v>
      </c>
      <c r="B1748" s="138">
        <f>'Tax Sched 23'!B8</f>
        <v>76873</v>
      </c>
      <c r="C1748" s="2" t="s">
        <v>573</v>
      </c>
      <c r="D1748" s="2" t="str">
        <f t="shared" si="26"/>
        <v>Error?</v>
      </c>
    </row>
    <row r="1749" spans="1:5" x14ac:dyDescent="0.2">
      <c r="A1749" s="5">
        <v>1688</v>
      </c>
      <c r="B1749" s="138">
        <f>'Tax Sched 23'!B10</f>
        <v>27691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114909</v>
      </c>
      <c r="C1752" s="2" t="s">
        <v>573</v>
      </c>
      <c r="D1752" s="2" t="str">
        <f t="shared" si="26"/>
        <v>Error?</v>
      </c>
    </row>
    <row r="1753" spans="1:5" x14ac:dyDescent="0.2">
      <c r="A1753" s="5">
        <v>1692</v>
      </c>
      <c r="B1753" s="138">
        <f>'Tax Sched 23'!B12</f>
        <v>28064</v>
      </c>
      <c r="C1753" s="2" t="s">
        <v>573</v>
      </c>
      <c r="D1753" s="2" t="str">
        <f t="shared" si="26"/>
        <v>Error?</v>
      </c>
    </row>
    <row r="1754" spans="1:5" x14ac:dyDescent="0.2">
      <c r="A1754" s="5">
        <v>1693</v>
      </c>
      <c r="B1754" s="138">
        <f>'Tax Sched 23'!B14</f>
        <v>22453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2795584</v>
      </c>
      <c r="C1759" s="2" t="s">
        <v>573</v>
      </c>
      <c r="D1759" s="2" t="str">
        <f t="shared" si="26"/>
        <v>Error?</v>
      </c>
    </row>
    <row r="1760" spans="1:5" x14ac:dyDescent="0.2">
      <c r="A1760" s="5">
        <v>1699</v>
      </c>
      <c r="B1760" s="138">
        <f>'Tax Sched 23'!D4</f>
        <v>1802822</v>
      </c>
      <c r="C1760" s="2" t="s">
        <v>573</v>
      </c>
      <c r="D1760" s="2" t="str">
        <f t="shared" si="26"/>
        <v>Error?</v>
      </c>
    </row>
    <row r="1761" spans="1:5" x14ac:dyDescent="0.2">
      <c r="A1761" s="5">
        <v>1700</v>
      </c>
      <c r="B1761" s="138">
        <f>'Tax Sched 23'!D5</f>
        <v>348401</v>
      </c>
      <c r="C1761" s="2" t="s">
        <v>573</v>
      </c>
      <c r="D1761" s="2" t="str">
        <f t="shared" si="26"/>
        <v>Error?</v>
      </c>
    </row>
    <row r="1762" spans="1:5" s="8" customFormat="1" x14ac:dyDescent="0.2">
      <c r="A1762" s="5">
        <v>1701</v>
      </c>
      <c r="B1762" s="138">
        <f>'Tax Sched 23'!D6</f>
        <v>110028</v>
      </c>
      <c r="C1762" s="2" t="s">
        <v>573</v>
      </c>
      <c r="D1762" s="2" t="str">
        <f t="shared" si="26"/>
        <v>Error?</v>
      </c>
      <c r="E1762" s="9"/>
    </row>
    <row r="1763" spans="1:5" x14ac:dyDescent="0.2">
      <c r="A1763" s="5">
        <v>1702</v>
      </c>
      <c r="B1763" s="138">
        <f>'Tax Sched 23'!D7</f>
        <v>159428</v>
      </c>
      <c r="C1763" s="2" t="s">
        <v>573</v>
      </c>
      <c r="D1763" s="2" t="str">
        <f t="shared" si="26"/>
        <v>Error?</v>
      </c>
    </row>
    <row r="1764" spans="1:5" x14ac:dyDescent="0.2">
      <c r="A1764" s="5">
        <v>1703</v>
      </c>
      <c r="B1764" s="138">
        <f>'Tax Sched 23'!D8</f>
        <v>76873</v>
      </c>
      <c r="C1764" s="2" t="s">
        <v>573</v>
      </c>
      <c r="D1764" s="2" t="str">
        <f t="shared" si="26"/>
        <v>Error?</v>
      </c>
    </row>
    <row r="1765" spans="1:5" x14ac:dyDescent="0.2">
      <c r="A1765" s="5">
        <v>1704</v>
      </c>
      <c r="B1765" s="138">
        <f>'Tax Sched 23'!D10</f>
        <v>27691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114909</v>
      </c>
      <c r="C1768" s="2" t="s">
        <v>573</v>
      </c>
      <c r="D1768" s="2" t="str">
        <f t="shared" si="26"/>
        <v>Error?</v>
      </c>
    </row>
    <row r="1769" spans="1:5" x14ac:dyDescent="0.2">
      <c r="A1769" s="5">
        <v>1708</v>
      </c>
      <c r="B1769" s="138">
        <f>'Tax Sched 23'!D12</f>
        <v>28064</v>
      </c>
      <c r="C1769" s="2" t="s">
        <v>573</v>
      </c>
      <c r="D1769" s="2" t="str">
        <f t="shared" si="26"/>
        <v>Error?</v>
      </c>
    </row>
    <row r="1770" spans="1:5" x14ac:dyDescent="0.2">
      <c r="A1770" s="5">
        <v>1709</v>
      </c>
      <c r="B1770" s="138">
        <f>'Tax Sched 23'!D14</f>
        <v>22453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2795584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1824307</v>
      </c>
      <c r="C1792" s="2" t="s">
        <v>573</v>
      </c>
      <c r="D1792" s="2" t="str">
        <f t="shared" si="27"/>
        <v>Error?</v>
      </c>
    </row>
    <row r="1793" spans="1:4" x14ac:dyDescent="0.2">
      <c r="A1793" s="5">
        <v>1732</v>
      </c>
      <c r="B1793" s="138">
        <f>'Tax Sched 23'!F5</f>
        <v>354929</v>
      </c>
      <c r="C1793" s="2" t="s">
        <v>573</v>
      </c>
      <c r="D1793" s="2" t="str">
        <f t="shared" si="27"/>
        <v>Error?</v>
      </c>
    </row>
    <row r="1794" spans="1:4" x14ac:dyDescent="0.2">
      <c r="A1794" s="5">
        <v>1733</v>
      </c>
      <c r="B1794" s="138">
        <f>'Tax Sched 23'!F6</f>
        <v>112051</v>
      </c>
      <c r="C1794" s="2" t="s">
        <v>573</v>
      </c>
      <c r="D1794" s="2" t="str">
        <f t="shared" si="27"/>
        <v>Error?</v>
      </c>
    </row>
    <row r="1795" spans="1:4" x14ac:dyDescent="0.2">
      <c r="A1795" s="5">
        <v>1734</v>
      </c>
      <c r="B1795" s="138">
        <f>'Tax Sched 23'!F7</f>
        <v>241555</v>
      </c>
      <c r="C1795" s="2" t="s">
        <v>573</v>
      </c>
      <c r="D1795" s="2" t="str">
        <f t="shared" si="27"/>
        <v>Error?</v>
      </c>
    </row>
    <row r="1796" spans="1:4" x14ac:dyDescent="0.2">
      <c r="A1796" s="5">
        <v>1735</v>
      </c>
      <c r="B1796" s="138">
        <f>'Tax Sched 23'!F8</f>
        <v>58753</v>
      </c>
      <c r="C1796" s="2" t="s">
        <v>573</v>
      </c>
      <c r="D1796" s="2" t="str">
        <f t="shared" si="27"/>
        <v>Error?</v>
      </c>
    </row>
    <row r="1797" spans="1:4" x14ac:dyDescent="0.2">
      <c r="A1797" s="5">
        <v>1736</v>
      </c>
      <c r="B1797" s="138">
        <f>'Tax Sched 23'!F10</f>
        <v>29048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117060</v>
      </c>
      <c r="C1800" s="2" t="s">
        <v>573</v>
      </c>
      <c r="D1800" s="2" t="str">
        <f t="shared" si="27"/>
        <v>Error?</v>
      </c>
    </row>
    <row r="1801" spans="1:4" x14ac:dyDescent="0.2">
      <c r="A1801" s="5">
        <v>1740</v>
      </c>
      <c r="B1801" s="138">
        <f>'Tax Sched 23'!F12</f>
        <v>29048</v>
      </c>
      <c r="C1801" s="2" t="s">
        <v>573</v>
      </c>
      <c r="D1801" s="2" t="str">
        <f t="shared" si="27"/>
        <v>Error?</v>
      </c>
    </row>
    <row r="1802" spans="1:4" x14ac:dyDescent="0.2">
      <c r="A1802" s="5">
        <v>1741</v>
      </c>
      <c r="B1802" s="138">
        <f>'Tax Sched 23'!F14</f>
        <v>22884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2877436</v>
      </c>
      <c r="C1807" s="2" t="s">
        <v>573</v>
      </c>
      <c r="D1807" s="2" t="str">
        <f t="shared" si="27"/>
        <v>Error?</v>
      </c>
    </row>
    <row r="1808" spans="1:4" x14ac:dyDescent="0.2">
      <c r="A1808" s="5">
        <v>1747</v>
      </c>
      <c r="B1808" s="138">
        <f>'Tax Sched 23'!E4</f>
        <v>1824307</v>
      </c>
      <c r="D1808" s="2" t="str">
        <f t="shared" si="27"/>
        <v>Error?</v>
      </c>
    </row>
    <row r="1809" spans="1:4" x14ac:dyDescent="0.2">
      <c r="A1809" s="5">
        <v>1748</v>
      </c>
      <c r="B1809" s="138">
        <f>'Tax Sched 23'!E5</f>
        <v>354929</v>
      </c>
      <c r="D1809" s="2" t="str">
        <f t="shared" si="27"/>
        <v>Error?</v>
      </c>
    </row>
    <row r="1810" spans="1:4" x14ac:dyDescent="0.2">
      <c r="A1810" s="5">
        <v>1749</v>
      </c>
      <c r="B1810" s="138">
        <f>'Tax Sched 23'!E6</f>
        <v>112051</v>
      </c>
      <c r="D1810" s="2" t="str">
        <f t="shared" si="27"/>
        <v>Error?</v>
      </c>
    </row>
    <row r="1811" spans="1:4" x14ac:dyDescent="0.2">
      <c r="A1811" s="5">
        <v>1750</v>
      </c>
      <c r="B1811" s="138">
        <f>'Tax Sched 23'!E7</f>
        <v>241555</v>
      </c>
      <c r="D1811" s="2" t="str">
        <f t="shared" si="27"/>
        <v>Error?</v>
      </c>
    </row>
    <row r="1812" spans="1:4" x14ac:dyDescent="0.2">
      <c r="A1812" s="5">
        <v>1751</v>
      </c>
      <c r="B1812" s="138">
        <f>'Tax Sched 23'!E8</f>
        <v>58753</v>
      </c>
      <c r="D1812" s="2" t="str">
        <f t="shared" si="27"/>
        <v>Error?</v>
      </c>
    </row>
    <row r="1813" spans="1:4" x14ac:dyDescent="0.2">
      <c r="A1813" s="5">
        <v>1752</v>
      </c>
      <c r="B1813" s="138">
        <f>'Tax Sched 23'!E10</f>
        <v>29048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117060</v>
      </c>
      <c r="D1816" s="2" t="str">
        <f t="shared" si="27"/>
        <v>Error?</v>
      </c>
    </row>
    <row r="1817" spans="1:4" x14ac:dyDescent="0.2">
      <c r="A1817" s="5">
        <v>1756</v>
      </c>
      <c r="B1817" s="138">
        <f>'Tax Sched 23'!E12</f>
        <v>29048</v>
      </c>
      <c r="D1817" s="2" t="str">
        <f t="shared" si="27"/>
        <v>Error?</v>
      </c>
    </row>
    <row r="1818" spans="1:4" x14ac:dyDescent="0.2">
      <c r="A1818" s="5">
        <v>1757</v>
      </c>
      <c r="B1818" s="138">
        <f>'Tax Sched 23'!E14</f>
        <v>22884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2877436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22453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22453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22453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3569128</v>
      </c>
      <c r="D2009" s="2" t="str">
        <f t="shared" si="30"/>
        <v>Error?</v>
      </c>
    </row>
    <row r="2010" spans="1:4" x14ac:dyDescent="0.2">
      <c r="A2010" s="5">
        <v>1949</v>
      </c>
      <c r="B2010" s="138">
        <f>'Cap Outlay Deprec 26'!C10</f>
        <v>160574</v>
      </c>
      <c r="D2010" s="2" t="str">
        <f t="shared" si="30"/>
        <v>Error?</v>
      </c>
    </row>
    <row r="2011" spans="1:4" x14ac:dyDescent="0.2">
      <c r="A2011" s="5">
        <v>1950</v>
      </c>
      <c r="B2011" s="138">
        <f>'Cap Outlay Deprec 26'!C12</f>
        <v>2184128</v>
      </c>
      <c r="D2011" s="2" t="str">
        <f t="shared" si="30"/>
        <v>Error?</v>
      </c>
    </row>
    <row r="2012" spans="1:4" x14ac:dyDescent="0.2">
      <c r="A2012" s="5">
        <v>1951</v>
      </c>
      <c r="B2012" s="138">
        <f>'Cap Outlay Deprec 26'!C13</f>
        <v>505922</v>
      </c>
      <c r="D2012" s="2" t="str">
        <f t="shared" si="30"/>
        <v>Error?</v>
      </c>
    </row>
    <row r="2013" spans="1:4" x14ac:dyDescent="0.2">
      <c r="A2013" s="5">
        <v>1952</v>
      </c>
      <c r="B2013" s="138">
        <f>'Cap Outlay Deprec 26'!C16</f>
        <v>6510464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128482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58762</v>
      </c>
      <c r="D2017" s="2" t="str">
        <f t="shared" si="30"/>
        <v>Error?</v>
      </c>
    </row>
    <row r="2018" spans="1:4" x14ac:dyDescent="0.2">
      <c r="A2018" s="5">
        <v>1957</v>
      </c>
      <c r="B2018" s="138">
        <f>'Cap Outlay Deprec 26'!D13</f>
        <v>74473</v>
      </c>
      <c r="D2018" s="2" t="str">
        <f t="shared" si="30"/>
        <v>Error?</v>
      </c>
    </row>
    <row r="2019" spans="1:4" x14ac:dyDescent="0.2">
      <c r="A2019" s="5">
        <v>1958</v>
      </c>
      <c r="B2019" s="138">
        <f>'Cap Outlay Deprec 26'!D16</f>
        <v>266467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33273</v>
      </c>
      <c r="D2024" s="2" t="str">
        <f t="shared" si="30"/>
        <v>Error?</v>
      </c>
    </row>
    <row r="2025" spans="1:4" x14ac:dyDescent="0.2">
      <c r="A2025" s="5">
        <v>1964</v>
      </c>
      <c r="B2025" s="138">
        <f>'Cap Outlay Deprec 26'!E16</f>
        <v>33273</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3697610</v>
      </c>
      <c r="C2027" s="2" t="s">
        <v>573</v>
      </c>
      <c r="D2027" s="2" t="str">
        <f t="shared" si="30"/>
        <v>Error?</v>
      </c>
    </row>
    <row r="2028" spans="1:4" x14ac:dyDescent="0.2">
      <c r="A2028" s="5">
        <v>1967</v>
      </c>
      <c r="B2028" s="138">
        <f>'Cap Outlay Deprec 26'!F10</f>
        <v>160574</v>
      </c>
      <c r="C2028" s="2" t="s">
        <v>573</v>
      </c>
      <c r="D2028" s="2" t="str">
        <f t="shared" si="30"/>
        <v>Error?</v>
      </c>
    </row>
    <row r="2029" spans="1:4" x14ac:dyDescent="0.2">
      <c r="A2029" s="5">
        <v>1968</v>
      </c>
      <c r="B2029" s="138">
        <f>'Cap Outlay Deprec 26'!F12</f>
        <v>2242890</v>
      </c>
      <c r="C2029" s="2" t="s">
        <v>573</v>
      </c>
      <c r="D2029" s="2" t="str">
        <f t="shared" si="30"/>
        <v>Error?</v>
      </c>
    </row>
    <row r="2030" spans="1:4" x14ac:dyDescent="0.2">
      <c r="A2030" s="5">
        <v>1969</v>
      </c>
      <c r="B2030" s="138">
        <f>'Cap Outlay Deprec 26'!F13</f>
        <v>547122</v>
      </c>
      <c r="C2030" s="2" t="s">
        <v>573</v>
      </c>
      <c r="D2030" s="2" t="str">
        <f t="shared" si="30"/>
        <v>Error?</v>
      </c>
    </row>
    <row r="2031" spans="1:4" x14ac:dyDescent="0.2">
      <c r="A2031" s="5">
        <v>1970</v>
      </c>
      <c r="B2031" s="138">
        <f>'Cap Outlay Deprec 26'!F16</f>
        <v>6743658</v>
      </c>
      <c r="C2031" s="2" t="s">
        <v>573</v>
      </c>
      <c r="D2031" s="2" t="str">
        <f t="shared" si="30"/>
        <v>Error?</v>
      </c>
    </row>
    <row r="2032" spans="1:4" x14ac:dyDescent="0.2">
      <c r="A2032" s="10">
        <v>1971</v>
      </c>
      <c r="D2032" s="2" t="str">
        <f t="shared" si="30"/>
        <v>OK</v>
      </c>
    </row>
    <row r="2033" spans="1:4" x14ac:dyDescent="0.2">
      <c r="A2033" s="5">
        <v>1972</v>
      </c>
      <c r="B2033" s="138">
        <f>'Cap Outlay Deprec 26'!H8</f>
        <v>1821356</v>
      </c>
      <c r="D2033" s="2" t="str">
        <f t="shared" si="30"/>
        <v>Error?</v>
      </c>
    </row>
    <row r="2034" spans="1:4" x14ac:dyDescent="0.2">
      <c r="A2034" s="5">
        <v>1973</v>
      </c>
      <c r="B2034" s="138">
        <f>'Cap Outlay Deprec 26'!H10</f>
        <v>33874</v>
      </c>
      <c r="D2034" s="2" t="str">
        <f t="shared" si="30"/>
        <v>Error?</v>
      </c>
    </row>
    <row r="2035" spans="1:4" x14ac:dyDescent="0.2">
      <c r="A2035" s="5">
        <v>1974</v>
      </c>
      <c r="B2035" s="138">
        <f>'Cap Outlay Deprec 26'!H12</f>
        <v>1783368</v>
      </c>
      <c r="D2035" s="2" t="str">
        <f t="shared" si="30"/>
        <v>Error?</v>
      </c>
    </row>
    <row r="2036" spans="1:4" x14ac:dyDescent="0.2">
      <c r="A2036" s="5">
        <v>1975</v>
      </c>
      <c r="B2036" s="138">
        <f>'Cap Outlay Deprec 26'!H13</f>
        <v>401645</v>
      </c>
      <c r="D2036" s="2" t="str">
        <f t="shared" si="30"/>
        <v>Error?</v>
      </c>
    </row>
    <row r="2037" spans="1:4" x14ac:dyDescent="0.2">
      <c r="A2037" s="5">
        <v>1976</v>
      </c>
      <c r="B2037" s="138">
        <f>'Cap Outlay Deprec 26'!H16</f>
        <v>4040243</v>
      </c>
      <c r="C2037" s="2" t="s">
        <v>573</v>
      </c>
      <c r="D2037" s="2" t="str">
        <f t="shared" si="30"/>
        <v>Error?</v>
      </c>
    </row>
    <row r="2038" spans="1:4" x14ac:dyDescent="0.2">
      <c r="A2038" s="10">
        <v>1977</v>
      </c>
      <c r="D2038" s="2" t="str">
        <f t="shared" si="30"/>
        <v>OK</v>
      </c>
    </row>
    <row r="2039" spans="1:4" x14ac:dyDescent="0.2">
      <c r="A2039" s="5">
        <v>1978</v>
      </c>
      <c r="B2039" s="138">
        <f>'Cap Outlay Deprec 26'!I8</f>
        <v>72667</v>
      </c>
      <c r="D2039" s="2" t="str">
        <f t="shared" si="30"/>
        <v>Error?</v>
      </c>
    </row>
    <row r="2040" spans="1:4" x14ac:dyDescent="0.2">
      <c r="A2040" s="5">
        <v>1979</v>
      </c>
      <c r="B2040" s="138">
        <f>'Cap Outlay Deprec 26'!I10</f>
        <v>7368</v>
      </c>
      <c r="D2040" s="2" t="str">
        <f t="shared" si="30"/>
        <v>Error?</v>
      </c>
    </row>
    <row r="2041" spans="1:4" x14ac:dyDescent="0.2">
      <c r="A2041" s="5">
        <v>1980</v>
      </c>
      <c r="B2041" s="138">
        <f>'Cap Outlay Deprec 26'!I12</f>
        <v>67450</v>
      </c>
      <c r="D2041" s="2" t="str">
        <f t="shared" si="30"/>
        <v>Error?</v>
      </c>
    </row>
    <row r="2042" spans="1:4" x14ac:dyDescent="0.2">
      <c r="A2042" s="5">
        <v>1981</v>
      </c>
      <c r="B2042" s="138">
        <f>'Cap Outlay Deprec 26'!I13</f>
        <v>47031</v>
      </c>
      <c r="D2042" s="2" t="str">
        <f t="shared" si="30"/>
        <v>Error?</v>
      </c>
    </row>
    <row r="2043" spans="1:4" x14ac:dyDescent="0.2">
      <c r="A2043" s="5">
        <v>1982</v>
      </c>
      <c r="B2043" s="138">
        <f>'Cap Outlay Deprec 26'!I16</f>
        <v>194516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33273</v>
      </c>
      <c r="D2048" s="2" t="str">
        <f t="shared" si="31"/>
        <v>Error?</v>
      </c>
    </row>
    <row r="2049" spans="1:4" x14ac:dyDescent="0.2">
      <c r="A2049" s="5">
        <v>1988</v>
      </c>
      <c r="B2049" s="138">
        <f>'Cap Outlay Deprec 26'!J16</f>
        <v>33273</v>
      </c>
      <c r="C2049" s="2" t="s">
        <v>573</v>
      </c>
      <c r="D2049" s="2" t="str">
        <f t="shared" si="31"/>
        <v>Error?</v>
      </c>
    </row>
    <row r="2050" spans="1:4" x14ac:dyDescent="0.2">
      <c r="A2050" s="10">
        <v>1989</v>
      </c>
      <c r="D2050" s="2" t="str">
        <f t="shared" si="31"/>
        <v>OK</v>
      </c>
    </row>
    <row r="2051" spans="1:4" x14ac:dyDescent="0.2">
      <c r="A2051" s="5">
        <v>1990</v>
      </c>
      <c r="B2051" s="138">
        <f>'Cap Outlay Deprec 26'!K8</f>
        <v>1894023</v>
      </c>
      <c r="C2051" s="2" t="s">
        <v>573</v>
      </c>
      <c r="D2051" s="2" t="str">
        <f t="shared" si="31"/>
        <v>Error?</v>
      </c>
    </row>
    <row r="2052" spans="1:4" x14ac:dyDescent="0.2">
      <c r="A2052" s="5">
        <v>1991</v>
      </c>
      <c r="B2052" s="138">
        <f>'Cap Outlay Deprec 26'!K10</f>
        <v>41242</v>
      </c>
      <c r="C2052" s="2" t="s">
        <v>573</v>
      </c>
      <c r="D2052" s="2" t="str">
        <f t="shared" si="31"/>
        <v>Error?</v>
      </c>
    </row>
    <row r="2053" spans="1:4" x14ac:dyDescent="0.2">
      <c r="A2053" s="5">
        <v>1992</v>
      </c>
      <c r="B2053" s="138">
        <f>'Cap Outlay Deprec 26'!K12</f>
        <v>1850818</v>
      </c>
      <c r="C2053" s="2" t="s">
        <v>573</v>
      </c>
      <c r="D2053" s="2" t="str">
        <f t="shared" si="31"/>
        <v>Error?</v>
      </c>
    </row>
    <row r="2054" spans="1:4" x14ac:dyDescent="0.2">
      <c r="A2054" s="5">
        <v>1993</v>
      </c>
      <c r="B2054" s="138">
        <f>'Cap Outlay Deprec 26'!K13</f>
        <v>415403</v>
      </c>
      <c r="C2054" s="2" t="s">
        <v>573</v>
      </c>
      <c r="D2054" s="2" t="str">
        <f t="shared" si="31"/>
        <v>Error?</v>
      </c>
    </row>
    <row r="2055" spans="1:4" x14ac:dyDescent="0.2">
      <c r="A2055" s="5">
        <v>1994</v>
      </c>
      <c r="B2055" s="138">
        <f>'Cap Outlay Deprec 26'!K16</f>
        <v>4201486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1803587</v>
      </c>
      <c r="C2057" s="2" t="s">
        <v>573</v>
      </c>
      <c r="D2057" s="2" t="str">
        <f t="shared" si="31"/>
        <v>Error?</v>
      </c>
    </row>
    <row r="2058" spans="1:4" x14ac:dyDescent="0.2">
      <c r="A2058" s="5">
        <v>1997</v>
      </c>
      <c r="B2058" s="138">
        <f>'Cap Outlay Deprec 26'!L10</f>
        <v>119332</v>
      </c>
      <c r="C2058" s="2" t="s">
        <v>573</v>
      </c>
      <c r="D2058" s="2" t="str">
        <f t="shared" si="31"/>
        <v>Error?</v>
      </c>
    </row>
    <row r="2059" spans="1:4" x14ac:dyDescent="0.2">
      <c r="A2059" s="5">
        <v>1998</v>
      </c>
      <c r="B2059" s="138">
        <f>'Cap Outlay Deprec 26'!L12</f>
        <v>392072</v>
      </c>
      <c r="C2059" s="2" t="s">
        <v>573</v>
      </c>
      <c r="D2059" s="2" t="str">
        <f t="shared" si="31"/>
        <v>Error?</v>
      </c>
    </row>
    <row r="2060" spans="1:4" x14ac:dyDescent="0.2">
      <c r="A2060" s="5">
        <v>1999</v>
      </c>
      <c r="B2060" s="138">
        <f>'Cap Outlay Deprec 26'!L13</f>
        <v>131719</v>
      </c>
      <c r="C2060" s="2" t="s">
        <v>573</v>
      </c>
      <c r="D2060" s="2" t="str">
        <f t="shared" si="31"/>
        <v>Error?</v>
      </c>
    </row>
    <row r="2061" spans="1:4" x14ac:dyDescent="0.2">
      <c r="A2061" s="5">
        <v>2000</v>
      </c>
      <c r="B2061" s="138">
        <f>'Cap Outlay Deprec 26'!L16</f>
        <v>2542172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86446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2137935</v>
      </c>
      <c r="C2551" s="2" t="s">
        <v>573</v>
      </c>
      <c r="D2551" s="2" t="str">
        <f t="shared" si="38"/>
        <v>Error?</v>
      </c>
    </row>
    <row r="2552" spans="1:4" x14ac:dyDescent="0.2">
      <c r="A2552" s="10">
        <v>2491</v>
      </c>
      <c r="D2552" s="2" t="str">
        <f t="shared" si="38"/>
        <v>OK</v>
      </c>
    </row>
    <row r="2553" spans="1:4" x14ac:dyDescent="0.2">
      <c r="A2553" s="5">
        <v>2492</v>
      </c>
      <c r="B2553" s="138">
        <f>'Acct Summary 7-8'!C6</f>
        <v>1517479</v>
      </c>
      <c r="C2553" s="2" t="s">
        <v>573</v>
      </c>
      <c r="D2553" s="2" t="str">
        <f t="shared" si="38"/>
        <v>Error?</v>
      </c>
    </row>
    <row r="2554" spans="1:4" x14ac:dyDescent="0.2">
      <c r="A2554" s="5">
        <v>2493</v>
      </c>
      <c r="B2554" s="138">
        <f>'Acct Summary 7-8'!C7</f>
        <v>268928</v>
      </c>
      <c r="C2554" s="2" t="s">
        <v>573</v>
      </c>
      <c r="D2554" s="2" t="str">
        <f t="shared" si="38"/>
        <v>Error?</v>
      </c>
    </row>
    <row r="2555" spans="1:4" x14ac:dyDescent="0.2">
      <c r="A2555" s="5">
        <v>2494</v>
      </c>
      <c r="B2555" s="138">
        <f>'Acct Summary 7-8'!C8</f>
        <v>3924342</v>
      </c>
      <c r="C2555" s="2" t="s">
        <v>573</v>
      </c>
      <c r="D2555" s="2" t="str">
        <f t="shared" si="38"/>
        <v>Error?</v>
      </c>
    </row>
    <row r="2556" spans="1:4" x14ac:dyDescent="0.2">
      <c r="A2556" s="5">
        <v>2495</v>
      </c>
      <c r="B2556" s="138">
        <f>'Acct Summary 7-8'!C12</f>
        <v>2712701</v>
      </c>
      <c r="C2556" s="2" t="s">
        <v>573</v>
      </c>
      <c r="D2556" s="2" t="str">
        <f t="shared" si="38"/>
        <v>Error?</v>
      </c>
    </row>
    <row r="2557" spans="1:4" x14ac:dyDescent="0.2">
      <c r="A2557" s="5">
        <v>2496</v>
      </c>
      <c r="B2557" s="138">
        <f>'Acct Summary 7-8'!C13</f>
        <v>869077</v>
      </c>
      <c r="C2557" s="2" t="s">
        <v>573</v>
      </c>
      <c r="D2557" s="2" t="str">
        <f t="shared" si="38"/>
        <v>Error?</v>
      </c>
    </row>
    <row r="2558" spans="1:4" x14ac:dyDescent="0.2">
      <c r="A2558" s="5">
        <v>2497</v>
      </c>
      <c r="B2558" s="138">
        <f>'Acct Summary 7-8'!C14</f>
        <v>17950</v>
      </c>
      <c r="C2558" s="2" t="s">
        <v>573</v>
      </c>
      <c r="D2558" s="2" t="str">
        <f t="shared" si="38"/>
        <v>Error?</v>
      </c>
    </row>
    <row r="2559" spans="1:4" x14ac:dyDescent="0.2">
      <c r="A2559" s="5">
        <v>2498</v>
      </c>
      <c r="B2559" s="138">
        <f>'Acct Summary 7-8'!C15</f>
        <v>86446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3686174</v>
      </c>
      <c r="C2561" s="2" t="s">
        <v>573</v>
      </c>
      <c r="D2561" s="2" t="str">
        <f t="shared" si="39"/>
        <v>Error?</v>
      </c>
    </row>
    <row r="2562" spans="1:4" x14ac:dyDescent="0.2">
      <c r="A2562" s="5">
        <v>2501</v>
      </c>
      <c r="B2562" s="138">
        <f>'Acct Summary 7-8'!C20</f>
        <v>238168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361101</v>
      </c>
      <c r="C2564" s="2" t="s">
        <v>573</v>
      </c>
      <c r="D2564" s="2" t="str">
        <f t="shared" si="39"/>
        <v>Error?</v>
      </c>
    </row>
    <row r="2565" spans="1:4" x14ac:dyDescent="0.2">
      <c r="A2565" s="10">
        <v>2504</v>
      </c>
      <c r="D2565" s="2" t="str">
        <f t="shared" si="39"/>
        <v>OK</v>
      </c>
    </row>
    <row r="2566" spans="1:4" x14ac:dyDescent="0.2">
      <c r="A2566" s="5">
        <v>2505</v>
      </c>
      <c r="B2566" s="138">
        <f>'Acct Summary 7-8'!D6</f>
        <v>6919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368020</v>
      </c>
      <c r="C2568" s="2" t="s">
        <v>573</v>
      </c>
      <c r="D2568" s="2" t="str">
        <f t="shared" si="39"/>
        <v>Error?</v>
      </c>
    </row>
    <row r="2569" spans="1:4" x14ac:dyDescent="0.2">
      <c r="A2569" s="5">
        <v>2508</v>
      </c>
      <c r="B2569" s="138">
        <f>'Acct Summary 7-8'!D13</f>
        <v>318736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318736</v>
      </c>
      <c r="C2573" s="2" t="s">
        <v>573</v>
      </c>
      <c r="D2573" s="2" t="str">
        <f t="shared" si="39"/>
        <v>Error?</v>
      </c>
    </row>
    <row r="2574" spans="1:4" x14ac:dyDescent="0.2">
      <c r="A2574" s="5">
        <v>2513</v>
      </c>
      <c r="B2574" s="138">
        <f>'Acct Summary 7-8'!D20</f>
        <v>49284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160588</v>
      </c>
      <c r="C2591" s="2" t="s">
        <v>573</v>
      </c>
      <c r="D2591" s="2" t="str">
        <f t="shared" si="39"/>
        <v>Error?</v>
      </c>
    </row>
    <row r="2592" spans="1:4" x14ac:dyDescent="0.2">
      <c r="A2592" s="10">
        <v>2531</v>
      </c>
      <c r="D2592" s="2" t="str">
        <f t="shared" si="39"/>
        <v>OK</v>
      </c>
    </row>
    <row r="2593" spans="1:4" x14ac:dyDescent="0.2">
      <c r="A2593" s="5">
        <v>2532</v>
      </c>
      <c r="B2593" s="138">
        <f>'Acct Summary 7-8'!F6</f>
        <v>108978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269566</v>
      </c>
      <c r="C2595" s="2" t="s">
        <v>573</v>
      </c>
      <c r="D2595" s="2" t="str">
        <f t="shared" si="39"/>
        <v>Error?</v>
      </c>
    </row>
    <row r="2596" spans="1:4" x14ac:dyDescent="0.2">
      <c r="A2596" s="5">
        <v>2535</v>
      </c>
      <c r="B2596" s="138">
        <f>'Acct Summary 7-8'!F13</f>
        <v>286980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286980</v>
      </c>
      <c r="C2600" s="2" t="s">
        <v>573</v>
      </c>
      <c r="D2600" s="2" t="str">
        <f t="shared" si="39"/>
        <v>Error?</v>
      </c>
    </row>
    <row r="2601" spans="1:4" x14ac:dyDescent="0.2">
      <c r="A2601" s="5">
        <v>2540</v>
      </c>
      <c r="B2601" s="138">
        <f>'Acct Summary 7-8'!F20</f>
        <v>-17414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159991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159991</v>
      </c>
      <c r="C2606" s="2" t="s">
        <v>573</v>
      </c>
      <c r="D2606" s="2" t="str">
        <f t="shared" si="39"/>
        <v>Error?</v>
      </c>
    </row>
    <row r="2607" spans="1:4" x14ac:dyDescent="0.2">
      <c r="A2607" s="5">
        <v>2546</v>
      </c>
      <c r="B2607" s="138">
        <f>'Acct Summary 7-8'!G12</f>
        <v>53444</v>
      </c>
      <c r="C2607" s="2" t="s">
        <v>573</v>
      </c>
      <c r="D2607" s="2" t="str">
        <f t="shared" si="39"/>
        <v>Error?</v>
      </c>
    </row>
    <row r="2608" spans="1:4" x14ac:dyDescent="0.2">
      <c r="A2608" s="5">
        <v>2547</v>
      </c>
      <c r="B2608" s="138">
        <f>'Acct Summary 7-8'!G13</f>
        <v>95639</v>
      </c>
      <c r="C2608" s="2" t="s">
        <v>573</v>
      </c>
      <c r="D2608" s="2" t="str">
        <f t="shared" si="39"/>
        <v>Error?</v>
      </c>
    </row>
    <row r="2609" spans="1:4" x14ac:dyDescent="0.2">
      <c r="A2609" s="5">
        <v>2548</v>
      </c>
      <c r="B2609" s="138">
        <f>'Acct Summary 7-8'!G14</f>
        <v>1970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151053</v>
      </c>
      <c r="C2612" s="2" t="s">
        <v>573</v>
      </c>
      <c r="D2612" s="2" t="str">
        <f t="shared" si="39"/>
        <v>Error?</v>
      </c>
    </row>
    <row r="2613" spans="1:4" x14ac:dyDescent="0.2">
      <c r="A2613" s="5">
        <v>2552</v>
      </c>
      <c r="B2613" s="138">
        <f>'Acct Summary 7-8'!G20</f>
        <v>8938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110135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110135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181137</v>
      </c>
      <c r="C2634" s="2" t="s">
        <v>573</v>
      </c>
      <c r="D2634" s="2" t="str">
        <f t="shared" si="40"/>
        <v>Error?</v>
      </c>
    </row>
    <row r="2635" spans="1:4" x14ac:dyDescent="0.2">
      <c r="A2635" s="5">
        <v>2574</v>
      </c>
      <c r="B2635" s="138">
        <f>'Acct Summary 7-8'!E17</f>
        <v>181137</v>
      </c>
      <c r="C2635" s="2" t="s">
        <v>573</v>
      </c>
      <c r="D2635" s="2" t="str">
        <f t="shared" si="40"/>
        <v>Error?</v>
      </c>
    </row>
    <row r="2636" spans="1:4" x14ac:dyDescent="0.2">
      <c r="A2636" s="5">
        <v>2575</v>
      </c>
      <c r="B2636" s="138">
        <f>'Acct Summary 7-8'!E20</f>
        <v>-71002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148656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148656</v>
      </c>
      <c r="C2658" s="2" t="s">
        <v>573</v>
      </c>
      <c r="D2658" s="2" t="str">
        <f t="shared" si="40"/>
        <v>Error?</v>
      </c>
    </row>
    <row r="2659" spans="1:4" x14ac:dyDescent="0.2">
      <c r="A2659" s="5">
        <v>2598</v>
      </c>
      <c r="B2659" s="138">
        <f>'Acct Summary 7-8'!H13</f>
        <v>173454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173454</v>
      </c>
      <c r="C2661" s="2" t="s">
        <v>573</v>
      </c>
      <c r="D2661" s="2" t="str">
        <f t="shared" si="40"/>
        <v>Error?</v>
      </c>
    </row>
    <row r="2662" spans="1:4" x14ac:dyDescent="0.2">
      <c r="A2662" s="5">
        <v>2601</v>
      </c>
      <c r="B2662" s="138">
        <f>'Acct Summary 7-8'!H20</f>
        <v>-24798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86446</v>
      </c>
      <c r="C2789" s="2" t="s">
        <v>573</v>
      </c>
      <c r="D2789" s="2" t="str">
        <f t="shared" si="42"/>
        <v>Error?</v>
      </c>
    </row>
    <row r="2790" spans="1:4" x14ac:dyDescent="0.2">
      <c r="A2790" s="5">
        <v>2729</v>
      </c>
      <c r="B2790" s="138">
        <f>'Expenditures 15-22'!E102</f>
        <v>86446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4750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455063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583614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122445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227466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v>
      </c>
      <c r="D2908" s="2" t="str">
        <f t="shared" si="44"/>
        <v>Error?</v>
      </c>
    </row>
    <row r="2909" spans="1:4" x14ac:dyDescent="0.2">
      <c r="A2909" s="10">
        <v>2848</v>
      </c>
      <c r="D2909" s="2" t="str">
        <f t="shared" si="44"/>
        <v>OK</v>
      </c>
    </row>
    <row r="2910" spans="1:4" x14ac:dyDescent="0.2">
      <c r="A2910" s="5">
        <v>2849</v>
      </c>
      <c r="B2910" s="138">
        <f>'Assets-Liab 5-6'!I34</f>
        <v>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583608</v>
      </c>
      <c r="D2912" s="2" t="str">
        <f t="shared" si="44"/>
        <v>Error?</v>
      </c>
    </row>
    <row r="2913" spans="1:4" x14ac:dyDescent="0.2">
      <c r="A2913" s="5">
        <v>2852</v>
      </c>
      <c r="B2913" s="138">
        <f>'Assets-Liab 5-6'!I41</f>
        <v>583614</v>
      </c>
      <c r="C2913" s="2" t="s">
        <v>573</v>
      </c>
      <c r="D2913" s="2" t="str">
        <f t="shared" si="44"/>
        <v>Error?</v>
      </c>
    </row>
    <row r="2914" spans="1:4" x14ac:dyDescent="0.2">
      <c r="A2914" s="5">
        <v>2853</v>
      </c>
      <c r="B2914" s="138">
        <f>'Assets-Liab 5-6'!L33</f>
        <v>227466</v>
      </c>
      <c r="D2914" s="2" t="str">
        <f t="shared" si="44"/>
        <v>Error?</v>
      </c>
    </row>
    <row r="2915" spans="1:4" x14ac:dyDescent="0.2">
      <c r="A2915" s="10">
        <v>2854</v>
      </c>
      <c r="D2915" s="2" t="str">
        <f t="shared" si="44"/>
        <v>OK</v>
      </c>
    </row>
    <row r="2916" spans="1:4" x14ac:dyDescent="0.2">
      <c r="A2916" s="5">
        <v>2855</v>
      </c>
      <c r="B2916" s="138">
        <f>'Assets-Liab 5-6'!L34</f>
        <v>227466</v>
      </c>
      <c r="C2916" s="2" t="s">
        <v>573</v>
      </c>
      <c r="D2916" s="2" t="str">
        <f t="shared" si="44"/>
        <v>Error?</v>
      </c>
    </row>
    <row r="2917" spans="1:4" x14ac:dyDescent="0.2">
      <c r="A2917" s="5">
        <v>2856</v>
      </c>
      <c r="B2917" s="138">
        <f>'Assets-Liab 5-6'!L41</f>
        <v>227466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86359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86359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60713</v>
      </c>
      <c r="D3055" s="2" t="str">
        <f t="shared" si="46"/>
        <v>Error?</v>
      </c>
    </row>
    <row r="3056" spans="1:4" x14ac:dyDescent="0.2">
      <c r="A3056" s="5">
        <v>2995</v>
      </c>
      <c r="B3056" s="138">
        <f>'Expenditures 15-22'!D10</f>
        <v>11232</v>
      </c>
      <c r="D3056" s="2" t="str">
        <f t="shared" si="46"/>
        <v>Error?</v>
      </c>
    </row>
    <row r="3057" spans="1:4" x14ac:dyDescent="0.2">
      <c r="A3057" s="5">
        <v>2996</v>
      </c>
      <c r="B3057" s="138">
        <f>'Expenditures 15-22'!E10</f>
        <v>13537</v>
      </c>
      <c r="D3057" s="2" t="str">
        <f t="shared" si="46"/>
        <v>Error?</v>
      </c>
    </row>
    <row r="3058" spans="1:4" x14ac:dyDescent="0.2">
      <c r="A3058" s="5">
        <v>2997</v>
      </c>
      <c r="B3058" s="138">
        <f>'Expenditures 15-22'!F10</f>
        <v>1385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86867</v>
      </c>
      <c r="C3062" s="2" t="s">
        <v>573</v>
      </c>
      <c r="D3062" s="2" t="str">
        <f t="shared" si="46"/>
        <v>Error?</v>
      </c>
    </row>
    <row r="3063" spans="1:4" x14ac:dyDescent="0.2">
      <c r="A3063" s="10">
        <v>3002</v>
      </c>
      <c r="D3063" s="2" t="str">
        <f t="shared" si="46"/>
        <v>OK</v>
      </c>
    </row>
    <row r="3064" spans="1:4" x14ac:dyDescent="0.2">
      <c r="A3064" s="5">
        <v>3003</v>
      </c>
      <c r="B3064" s="138">
        <f>'Expenditures 15-22'!D219</f>
        <v>742</v>
      </c>
      <c r="D3064" s="2" t="str">
        <f t="shared" si="46"/>
        <v>Error?</v>
      </c>
    </row>
    <row r="3065" spans="1:4" x14ac:dyDescent="0.2">
      <c r="A3065" s="5">
        <v>3004</v>
      </c>
      <c r="B3065" s="138">
        <f>'Expenditures 15-22'!K219</f>
        <v>742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35430</v>
      </c>
      <c r="C3225" s="2" t="s">
        <v>573</v>
      </c>
      <c r="D3225" s="2" t="str">
        <f t="shared" si="49"/>
        <v>Error?</v>
      </c>
    </row>
    <row r="3226" spans="1:4" x14ac:dyDescent="0.2">
      <c r="A3226" s="5">
        <v>3165</v>
      </c>
      <c r="B3226" s="138">
        <f>'Acct Summary 7-8'!I8</f>
        <v>35430</v>
      </c>
      <c r="C3226" s="2" t="s">
        <v>573</v>
      </c>
      <c r="D3226" s="2" t="str">
        <f t="shared" si="49"/>
        <v>Error?</v>
      </c>
    </row>
    <row r="3227" spans="1:4" x14ac:dyDescent="0.2">
      <c r="A3227" s="5">
        <v>3166</v>
      </c>
      <c r="B3227" s="138">
        <f>'Acct Summary 7-8'!I20</f>
        <v>35430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238168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49284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-17414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8938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70912</v>
      </c>
      <c r="D3273" s="2" t="str">
        <f t="shared" si="50"/>
        <v>Error?</v>
      </c>
    </row>
    <row r="3274" spans="1:4" x14ac:dyDescent="0.2">
      <c r="A3274" s="5">
        <v>3213</v>
      </c>
      <c r="B3274" s="138">
        <f>'Acct Summary 7-8'!E44</f>
        <v>70912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70912</v>
      </c>
      <c r="C3277" s="2" t="s">
        <v>573</v>
      </c>
      <c r="D3277" s="2" t="str">
        <f t="shared" si="50"/>
        <v>Error?</v>
      </c>
    </row>
    <row r="3278" spans="1:4" x14ac:dyDescent="0.2">
      <c r="A3278" s="5">
        <v>3217</v>
      </c>
      <c r="B3278" s="138">
        <f>'Acct Summary 7-8'!E78</f>
        <v>-90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70912</v>
      </c>
      <c r="D3297" s="2" t="str">
        <f t="shared" si="50"/>
        <v>Error?</v>
      </c>
    </row>
    <row r="3298" spans="1:4" x14ac:dyDescent="0.2">
      <c r="A3298" s="5">
        <v>3237</v>
      </c>
      <c r="B3298" s="138">
        <f>'Acct Summary 7-8'!H76</f>
        <v>70912</v>
      </c>
      <c r="C3298" s="2" t="s">
        <v>573</v>
      </c>
      <c r="D3298" s="2" t="str">
        <f t="shared" si="50"/>
        <v>Error?</v>
      </c>
    </row>
    <row r="3299" spans="1:4" x14ac:dyDescent="0.2">
      <c r="A3299" s="5">
        <v>3238</v>
      </c>
      <c r="B3299" s="138">
        <f>'Acct Summary 7-8'!H77</f>
        <v>-70912</v>
      </c>
      <c r="C3299" s="2" t="s">
        <v>573</v>
      </c>
      <c r="D3299" s="2" t="str">
        <f t="shared" si="50"/>
        <v>Error?</v>
      </c>
    </row>
    <row r="3300" spans="1:4" x14ac:dyDescent="0.2">
      <c r="A3300" s="5">
        <v>3239</v>
      </c>
      <c r="B3300" s="138">
        <f>'Acct Summary 7-8'!H78</f>
        <v>-95710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35430</v>
      </c>
      <c r="C3320" s="2" t="s">
        <v>573</v>
      </c>
      <c r="D3320" s="2" t="str">
        <f t="shared" si="50"/>
        <v>Error?</v>
      </c>
    </row>
    <row r="3321" spans="1:4" x14ac:dyDescent="0.2">
      <c r="A3321" s="5">
        <v>3260</v>
      </c>
      <c r="B3321" s="138">
        <f>'Acct Summary 7-8'!I79</f>
        <v>548178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583608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322327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47300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374827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20841</v>
      </c>
      <c r="D3387" s="2" t="str">
        <f t="shared" si="51"/>
        <v>Error?</v>
      </c>
    </row>
    <row r="3388" spans="1:4" x14ac:dyDescent="0.2">
      <c r="A3388" s="5">
        <v>3327</v>
      </c>
      <c r="B3388" s="138">
        <f>'Expenditures 15-22'!D217</f>
        <v>21788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20841</v>
      </c>
      <c r="C3390" s="2" t="s">
        <v>573</v>
      </c>
      <c r="D3390" s="2" t="str">
        <f t="shared" si="51"/>
        <v>Error?</v>
      </c>
    </row>
    <row r="3391" spans="1:4" x14ac:dyDescent="0.2">
      <c r="A3391" s="5">
        <v>3330</v>
      </c>
      <c r="B3391" s="138">
        <f>'Expenditures 15-22'!K217</f>
        <v>21788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605039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142832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133455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294726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95367</v>
      </c>
      <c r="D3425" s="2" t="str">
        <f t="shared" si="52"/>
        <v>Error?</v>
      </c>
    </row>
    <row r="3426" spans="1:4" x14ac:dyDescent="0.2">
      <c r="A3426" s="10">
        <v>3365</v>
      </c>
      <c r="D3426" s="2" t="str">
        <f t="shared" si="52"/>
        <v>OK</v>
      </c>
    </row>
    <row r="3427" spans="1:4" x14ac:dyDescent="0.2">
      <c r="A3427" s="5">
        <v>3366</v>
      </c>
      <c r="B3427" s="138">
        <f>'Assets-Liab 5-6'!I4</f>
        <v>128551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105021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76873</v>
      </c>
      <c r="C3446" s="2" t="s">
        <v>573</v>
      </c>
      <c r="D3446" s="2" t="str">
        <f t="shared" si="52"/>
        <v>Error?</v>
      </c>
    </row>
    <row r="3447" spans="1:4" x14ac:dyDescent="0.2">
      <c r="A3447" s="5">
        <v>3386</v>
      </c>
      <c r="B3447" s="138">
        <f>'Tax Sched 23'!D16</f>
        <v>76873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58753</v>
      </c>
      <c r="C3449" s="2" t="s">
        <v>573</v>
      </c>
      <c r="D3449" s="2" t="str">
        <f t="shared" si="52"/>
        <v>Error?</v>
      </c>
    </row>
    <row r="3450" spans="1:4" x14ac:dyDescent="0.2">
      <c r="A3450" s="5">
        <v>3389</v>
      </c>
      <c r="B3450" s="138">
        <f>'Tax Sched 23'!E16</f>
        <v>58753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4750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4750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4750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51925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51925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51918</v>
      </c>
      <c r="D3567" s="2" t="str">
        <f t="shared" si="54"/>
        <v>Error?</v>
      </c>
    </row>
    <row r="3568" spans="1:4" x14ac:dyDescent="0.2">
      <c r="A3568" s="5">
        <v>3507</v>
      </c>
      <c r="B3568" s="138">
        <f>'Assets-Liab 5-6'!K41</f>
        <v>51925</v>
      </c>
      <c r="C3568" s="2" t="s">
        <v>573</v>
      </c>
      <c r="D3568" s="2" t="str">
        <f t="shared" si="54"/>
        <v>Error?</v>
      </c>
    </row>
    <row r="3569" spans="1:4" x14ac:dyDescent="0.2">
      <c r="A3569" s="5">
        <v>3508</v>
      </c>
      <c r="B3569" s="138">
        <f>'Acct Summary 7-8'!K4</f>
        <v>28271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28271</v>
      </c>
      <c r="C3571" s="2" t="s">
        <v>573</v>
      </c>
      <c r="D3571" s="2" t="str">
        <f t="shared" si="54"/>
        <v>Error?</v>
      </c>
    </row>
    <row r="3572" spans="1:4" x14ac:dyDescent="0.2">
      <c r="A3572" s="5">
        <v>3511</v>
      </c>
      <c r="B3572" s="138">
        <f>'Acct Summary 7-8'!K13</f>
        <v>8983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8983</v>
      </c>
      <c r="C3575" s="2" t="s">
        <v>573</v>
      </c>
      <c r="D3575" s="2" t="str">
        <f t="shared" si="54"/>
        <v>Error?</v>
      </c>
    </row>
    <row r="3576" spans="1:4" x14ac:dyDescent="0.2">
      <c r="A3576" s="5">
        <v>3515</v>
      </c>
      <c r="B3576" s="138">
        <f>'Acct Summary 7-8'!K20</f>
        <v>19288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19288</v>
      </c>
      <c r="C3588" s="2" t="s">
        <v>573</v>
      </c>
      <c r="D3588" s="2" t="str">
        <f t="shared" si="55"/>
        <v>Error?</v>
      </c>
    </row>
    <row r="3589" spans="1:4" x14ac:dyDescent="0.2">
      <c r="A3589" s="5">
        <v>3528</v>
      </c>
      <c r="B3589" s="138">
        <f>'Acct Summary 7-8'!K79</f>
        <v>32630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51918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8983</v>
      </c>
      <c r="D3632" s="2" t="str">
        <f t="shared" si="55"/>
        <v>Error?</v>
      </c>
    </row>
    <row r="3633" spans="1:4" x14ac:dyDescent="0.2">
      <c r="A3633" s="5">
        <v>3572</v>
      </c>
      <c r="B3633" s="138">
        <f>'Expenditures 15-22'!E350</f>
        <v>8983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8983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8983</v>
      </c>
      <c r="C3669" s="2" t="s">
        <v>573</v>
      </c>
      <c r="D3669" s="2" t="str">
        <f t="shared" si="56"/>
        <v>Error?</v>
      </c>
    </row>
    <row r="3670" spans="1:4" x14ac:dyDescent="0.2">
      <c r="A3670" s="5">
        <v>3609</v>
      </c>
      <c r="B3670" s="138">
        <f>'Expenditures 15-22'!K350</f>
        <v>8983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8983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8983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19288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28042</v>
      </c>
      <c r="C3725" s="2" t="s">
        <v>573</v>
      </c>
      <c r="D3725" s="2" t="str">
        <f t="shared" si="57"/>
        <v>Error?</v>
      </c>
    </row>
    <row r="3726" spans="1:4" x14ac:dyDescent="0.2">
      <c r="A3726" s="5">
        <v>3665</v>
      </c>
      <c r="B3726" s="138">
        <f>'Tax Sched 23'!D13</f>
        <v>28042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29048</v>
      </c>
      <c r="C3728" s="2" t="s">
        <v>573</v>
      </c>
      <c r="D3728" s="2" t="str">
        <f t="shared" si="57"/>
        <v>Error?</v>
      </c>
    </row>
    <row r="3729" spans="1:4" x14ac:dyDescent="0.2">
      <c r="A3729" s="5">
        <v>3668</v>
      </c>
      <c r="B3729" s="138">
        <f>'Tax Sched 23'!E13</f>
        <v>29048</v>
      </c>
      <c r="D3729" s="2" t="str">
        <f t="shared" si="57"/>
        <v>Error?</v>
      </c>
    </row>
    <row r="3730" spans="1:4" x14ac:dyDescent="0.2">
      <c r="A3730" s="5">
        <v>3669</v>
      </c>
      <c r="B3730" s="138">
        <f>'ICR Computation 30'!E10</f>
        <v>80497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1666737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5591079</v>
      </c>
      <c r="C4122" s="2" t="s">
        <v>573</v>
      </c>
      <c r="D4122" s="2" t="str">
        <f t="shared" si="63"/>
        <v>Error?</v>
      </c>
    </row>
    <row r="4123" spans="1:4" x14ac:dyDescent="0.2">
      <c r="A4123" s="5">
        <v>4062</v>
      </c>
      <c r="B4123" s="138">
        <f>'Acct Summary 7-8'!D10</f>
        <v>368020</v>
      </c>
      <c r="C4123" s="2" t="s">
        <v>573</v>
      </c>
      <c r="D4123" s="2" t="str">
        <f t="shared" si="63"/>
        <v>Error?</v>
      </c>
    </row>
    <row r="4124" spans="1:4" x14ac:dyDescent="0.2">
      <c r="A4124" s="5">
        <v>4063</v>
      </c>
      <c r="B4124" s="138">
        <f>'Acct Summary 7-8'!E10</f>
        <v>110135</v>
      </c>
      <c r="C4124" s="2" t="s">
        <v>573</v>
      </c>
      <c r="D4124" s="2" t="str">
        <f t="shared" si="63"/>
        <v>Error?</v>
      </c>
    </row>
    <row r="4125" spans="1:4" x14ac:dyDescent="0.2">
      <c r="A4125" s="5">
        <v>4064</v>
      </c>
      <c r="B4125" s="138">
        <f>'Acct Summary 7-8'!F10</f>
        <v>269566</v>
      </c>
      <c r="C4125" s="2" t="s">
        <v>573</v>
      </c>
      <c r="D4125" s="2" t="str">
        <f t="shared" si="63"/>
        <v>Error?</v>
      </c>
    </row>
    <row r="4126" spans="1:4" x14ac:dyDescent="0.2">
      <c r="A4126" s="5">
        <v>4065</v>
      </c>
      <c r="B4126" s="138">
        <f>'Acct Summary 7-8'!G10</f>
        <v>159991</v>
      </c>
      <c r="C4126" s="2" t="s">
        <v>573</v>
      </c>
      <c r="D4126" s="2" t="str">
        <f t="shared" si="63"/>
        <v>Error?</v>
      </c>
    </row>
    <row r="4127" spans="1:4" x14ac:dyDescent="0.2">
      <c r="A4127" s="5">
        <v>4066</v>
      </c>
      <c r="B4127" s="138">
        <f>'Acct Summary 7-8'!H10</f>
        <v>148656</v>
      </c>
      <c r="C4127" s="2" t="s">
        <v>573</v>
      </c>
      <c r="D4127" s="2" t="str">
        <f t="shared" si="63"/>
        <v>Error?</v>
      </c>
    </row>
    <row r="4128" spans="1:4" x14ac:dyDescent="0.2">
      <c r="A4128" s="5">
        <v>4067</v>
      </c>
      <c r="B4128" s="138">
        <f>'Acct Summary 7-8'!I10</f>
        <v>35430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28271</v>
      </c>
      <c r="C4130" s="2" t="s">
        <v>573</v>
      </c>
      <c r="D4130" s="2" t="str">
        <f t="shared" si="63"/>
        <v>Error?</v>
      </c>
    </row>
    <row r="4131" spans="1:4" x14ac:dyDescent="0.2">
      <c r="A4131" s="5">
        <v>4070</v>
      </c>
      <c r="B4131" s="138">
        <f>'Acct Summary 7-8'!C18</f>
        <v>1666737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5352911</v>
      </c>
      <c r="C4136" s="2" t="s">
        <v>573</v>
      </c>
      <c r="D4136" s="2" t="str">
        <f t="shared" si="63"/>
        <v>Error?</v>
      </c>
    </row>
    <row r="4137" spans="1:4" x14ac:dyDescent="0.2">
      <c r="A4137" s="5">
        <v>4076</v>
      </c>
      <c r="B4137" s="138">
        <f>'Acct Summary 7-8'!D19</f>
        <v>318736</v>
      </c>
      <c r="C4137" s="2" t="s">
        <v>573</v>
      </c>
      <c r="D4137" s="2" t="str">
        <f t="shared" si="63"/>
        <v>Error?</v>
      </c>
    </row>
    <row r="4138" spans="1:4" x14ac:dyDescent="0.2">
      <c r="A4138" s="5">
        <v>4077</v>
      </c>
      <c r="B4138" s="138">
        <f>'Acct Summary 7-8'!E19</f>
        <v>181137</v>
      </c>
      <c r="C4138" s="2" t="s">
        <v>573</v>
      </c>
      <c r="D4138" s="2" t="str">
        <f t="shared" si="63"/>
        <v>Error?</v>
      </c>
    </row>
    <row r="4139" spans="1:4" x14ac:dyDescent="0.2">
      <c r="A4139" s="5">
        <v>4078</v>
      </c>
      <c r="B4139" s="138">
        <f>'Acct Summary 7-8'!F19</f>
        <v>286980</v>
      </c>
      <c r="C4139" s="2" t="s">
        <v>573</v>
      </c>
      <c r="D4139" s="2" t="str">
        <f t="shared" si="63"/>
        <v>Error?</v>
      </c>
    </row>
    <row r="4140" spans="1:4" x14ac:dyDescent="0.2">
      <c r="A4140" s="5">
        <v>4079</v>
      </c>
      <c r="B4140" s="138">
        <f>'Acct Summary 7-8'!G19</f>
        <v>151053</v>
      </c>
      <c r="C4140" s="2" t="s">
        <v>573</v>
      </c>
      <c r="D4140" s="2" t="str">
        <f t="shared" si="63"/>
        <v>Error?</v>
      </c>
    </row>
    <row r="4141" spans="1:4" x14ac:dyDescent="0.2">
      <c r="A4141" s="5">
        <v>4080</v>
      </c>
      <c r="B4141" s="138">
        <f>'Acct Summary 7-8'!H19</f>
        <v>173454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8983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937000</v>
      </c>
      <c r="C4171" s="2" t="s">
        <v>573</v>
      </c>
      <c r="D4171" s="2" t="str">
        <f t="shared" si="64"/>
        <v>Error?</v>
      </c>
    </row>
    <row r="4172" spans="1:4" x14ac:dyDescent="0.2">
      <c r="A4172" s="5">
        <v>4111</v>
      </c>
      <c r="B4172" s="138">
        <f>'Short-Term Long-Term Debt 24'!J49</f>
        <v>937000</v>
      </c>
      <c r="C4172" s="2" t="s">
        <v>573</v>
      </c>
      <c r="D4172" s="2" t="str">
        <f t="shared" si="64"/>
        <v>Error?</v>
      </c>
    </row>
    <row r="4173" spans="1:4" x14ac:dyDescent="0.2">
      <c r="A4173" s="5">
        <v>4112</v>
      </c>
      <c r="B4173" s="138">
        <f>'Short-Term Long-Term Debt 24'!H49</f>
        <v>143000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3032.79</v>
      </c>
      <c r="C4265" s="2" t="s">
        <v>573</v>
      </c>
      <c r="D4265" s="2" t="str">
        <f t="shared" si="65"/>
        <v>Error?</v>
      </c>
      <c r="E4265" s="128"/>
    </row>
    <row r="4266" spans="1:5" x14ac:dyDescent="0.2">
      <c r="A4266" s="12">
        <v>4205</v>
      </c>
      <c r="B4266" s="138">
        <f>('FP Info 3'!F10)*100000</f>
        <v>590.03</v>
      </c>
      <c r="C4266" s="2" t="s">
        <v>573</v>
      </c>
      <c r="D4266" s="2" t="str">
        <f t="shared" si="65"/>
        <v>Error?</v>
      </c>
      <c r="E4266" s="128"/>
    </row>
    <row r="4267" spans="1:5" x14ac:dyDescent="0.2">
      <c r="A4267" s="12">
        <v>4206</v>
      </c>
      <c r="B4267" s="138">
        <f>('FP Info 3'!H10)*100000</f>
        <v>401.64</v>
      </c>
      <c r="C4267" s="2" t="s">
        <v>573</v>
      </c>
      <c r="D4267" s="2" t="str">
        <f t="shared" si="65"/>
        <v>Error?</v>
      </c>
      <c r="E4267" s="128"/>
    </row>
    <row r="4268" spans="1:5" x14ac:dyDescent="0.2">
      <c r="A4268" s="12">
        <v>4207</v>
      </c>
      <c r="B4268" s="138">
        <f>('FP Info 3'!J10)*100000</f>
        <v>4024</v>
      </c>
      <c r="C4268" s="2" t="s">
        <v>573</v>
      </c>
      <c r="D4268" s="2" t="str">
        <f t="shared" si="65"/>
        <v>Error?</v>
      </c>
    </row>
    <row r="4269" spans="1:5" x14ac:dyDescent="0.2">
      <c r="A4269" s="12">
        <v>4208</v>
      </c>
      <c r="B4269" s="138">
        <f>'FP Info 3'!J16</f>
        <v>2026610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4737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61488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10246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48.29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1487</v>
      </c>
      <c r="D4792" s="2" t="str">
        <f t="shared" si="73"/>
        <v>Error?</v>
      </c>
    </row>
    <row r="4793" spans="1:4" x14ac:dyDescent="0.2">
      <c r="A4793" s="5">
        <v>4732</v>
      </c>
      <c r="B4793" s="138">
        <f>'Revenues 9-14'!D168</f>
        <v>6919</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25094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60016993</v>
      </c>
      <c r="D4995" s="2" t="str">
        <f t="shared" si="77"/>
        <v>Error?</v>
      </c>
    </row>
    <row r="4996" spans="1:4" x14ac:dyDescent="0.2">
      <c r="A4996" s="12">
        <v>4935</v>
      </c>
      <c r="B4996" s="138">
        <f>'FP Info 3'!H31</f>
        <v>8282345.0340000009</v>
      </c>
      <c r="D4996" s="2" t="str">
        <f t="shared" si="77"/>
        <v>Error?</v>
      </c>
    </row>
    <row r="4997" spans="1:4" x14ac:dyDescent="0.2">
      <c r="A4997" s="12">
        <v>4936</v>
      </c>
      <c r="B4997" s="138">
        <f>'FP Info 3'!H37</f>
        <v>937000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28042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1802822</v>
      </c>
      <c r="D5061" s="2" t="str">
        <f t="shared" si="78"/>
        <v>Error?</v>
      </c>
    </row>
    <row r="5062" spans="1:4" x14ac:dyDescent="0.2">
      <c r="A5062" s="10">
        <v>5001</v>
      </c>
      <c r="D5062" s="2" t="str">
        <f t="shared" si="78"/>
        <v>OK</v>
      </c>
    </row>
    <row r="5063" spans="1:4" x14ac:dyDescent="0.2">
      <c r="A5063" s="5">
        <v>5002</v>
      </c>
      <c r="B5063" s="138">
        <f>'Revenues 9-14'!C7</f>
        <v>22453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1853317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47909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47909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9748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9748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7918</v>
      </c>
      <c r="D5094" s="2" t="str">
        <f t="shared" si="78"/>
        <v>Error?</v>
      </c>
    </row>
    <row r="5095" spans="1:4" x14ac:dyDescent="0.2">
      <c r="A5095" s="5">
        <v>5034</v>
      </c>
      <c r="B5095" s="138">
        <f>'Revenues 9-14'!C74</f>
        <v>1649</v>
      </c>
      <c r="D5095" s="2" t="str">
        <f t="shared" si="78"/>
        <v>Error?</v>
      </c>
    </row>
    <row r="5096" spans="1:4" x14ac:dyDescent="0.2">
      <c r="A5096" s="5">
        <v>5035</v>
      </c>
      <c r="B5096" s="138">
        <f>'Revenues 9-14'!C75</f>
        <v>52221</v>
      </c>
      <c r="C5096" s="2" t="s">
        <v>573</v>
      </c>
      <c r="D5096" s="2" t="str">
        <f t="shared" si="78"/>
        <v>Error?</v>
      </c>
    </row>
    <row r="5097" spans="1:4" x14ac:dyDescent="0.2">
      <c r="A5097" s="5">
        <v>5036</v>
      </c>
      <c r="B5097" s="138">
        <f>'Revenues 9-14'!C77</f>
        <v>33259</v>
      </c>
      <c r="D5097" s="2" t="str">
        <f t="shared" si="78"/>
        <v>Error?</v>
      </c>
    </row>
    <row r="5098" spans="1:4" x14ac:dyDescent="0.2">
      <c r="A5098" s="5">
        <v>5037</v>
      </c>
      <c r="B5098" s="138">
        <f>'Revenues 9-14'!C78</f>
        <v>536</v>
      </c>
      <c r="D5098" s="2" t="str">
        <f t="shared" si="78"/>
        <v>Error?</v>
      </c>
    </row>
    <row r="5099" spans="1:4" x14ac:dyDescent="0.2">
      <c r="A5099" s="5">
        <v>5038</v>
      </c>
      <c r="B5099" s="138">
        <f>'Revenues 9-14'!C79</f>
        <v>7500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41295</v>
      </c>
      <c r="C5102" s="2" t="s">
        <v>573</v>
      </c>
      <c r="D5102" s="2" t="str">
        <f t="shared" si="78"/>
        <v>Error?</v>
      </c>
    </row>
    <row r="5103" spans="1:4" x14ac:dyDescent="0.2">
      <c r="A5103" s="5">
        <v>5042</v>
      </c>
      <c r="B5103" s="138">
        <f>'Revenues 9-14'!C84</f>
        <v>16342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4929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21271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4512</v>
      </c>
      <c r="D5114" s="2" t="str">
        <f t="shared" si="78"/>
        <v>Error?</v>
      </c>
    </row>
    <row r="5115" spans="1:4" x14ac:dyDescent="0.2">
      <c r="A5115" s="5">
        <v>5054</v>
      </c>
      <c r="B5115" s="138">
        <f>'Revenues 9-14'!C98</f>
        <v>36697</v>
      </c>
      <c r="D5115" s="2" t="str">
        <f t="shared" si="78"/>
        <v>Error?</v>
      </c>
    </row>
    <row r="5116" spans="1:4" x14ac:dyDescent="0.2">
      <c r="A5116" s="5">
        <v>5055</v>
      </c>
      <c r="B5116" s="138">
        <f>'Revenues 9-14'!C99</f>
        <v>10747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58968</v>
      </c>
      <c r="D5119" s="2" t="str">
        <f t="shared" ref="D5119:D5182" si="79">IF(ISBLANK(B5119),"OK",IF(A5119-B5119=0,"OK","Error?"))</f>
        <v>Error?</v>
      </c>
    </row>
    <row r="5120" spans="1:4" x14ac:dyDescent="0.2">
      <c r="A5120" s="5">
        <v>5059</v>
      </c>
      <c r="B5120" s="138">
        <f>'Revenues 9-14'!C108</f>
        <v>112174</v>
      </c>
      <c r="C5120" s="2" t="s">
        <v>573</v>
      </c>
      <c r="D5120" s="2" t="str">
        <f t="shared" si="79"/>
        <v>Error?</v>
      </c>
    </row>
    <row r="5121" spans="1:4" x14ac:dyDescent="0.2">
      <c r="A5121" s="5">
        <v>5060</v>
      </c>
      <c r="B5121" s="138">
        <f>'Revenues 9-14'!C109</f>
        <v>2137935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1287840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1287840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13836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13836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19667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46629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1595</v>
      </c>
      <c r="D5167" s="2" t="str">
        <f t="shared" si="79"/>
        <v>Error?</v>
      </c>
    </row>
    <row r="5168" spans="1:4" x14ac:dyDescent="0.2">
      <c r="A5168" s="5">
        <v>5107</v>
      </c>
      <c r="B5168" s="138">
        <f>'Revenues 9-14'!C148</f>
        <v>5702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160390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229639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1517479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69978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22380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92358</v>
      </c>
      <c r="C5246" s="2" t="s">
        <v>573</v>
      </c>
      <c r="D5246" s="2" t="str">
        <f t="shared" si="80"/>
        <v>Error?</v>
      </c>
    </row>
    <row r="5247" spans="1:4" x14ac:dyDescent="0.2">
      <c r="A5247" s="5">
        <v>5186</v>
      </c>
      <c r="B5247" s="138">
        <f>'Revenues 9-14'!C200</f>
        <v>70979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70979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4026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4026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268928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268928</v>
      </c>
      <c r="C5326" s="2" t="s">
        <v>573</v>
      </c>
      <c r="D5326" s="2" t="str">
        <f t="shared" si="82"/>
        <v>Error?</v>
      </c>
    </row>
    <row r="5327" spans="1:5" x14ac:dyDescent="0.2">
      <c r="A5327" s="5">
        <v>5266</v>
      </c>
      <c r="B5327" s="138">
        <f>'Revenues 9-14'!C268</f>
        <v>3924342</v>
      </c>
      <c r="C5327" s="2" t="s">
        <v>573</v>
      </c>
      <c r="D5327" s="2" t="str">
        <f t="shared" si="82"/>
        <v>Error?</v>
      </c>
    </row>
    <row r="5328" spans="1:5" x14ac:dyDescent="0.2">
      <c r="A5328" s="5">
        <v>5267</v>
      </c>
      <c r="B5328" s="138">
        <f>'Revenues 9-14'!D5</f>
        <v>348401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348401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2370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2370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2430</v>
      </c>
      <c r="D5354" s="2" t="str">
        <f t="shared" si="82"/>
        <v>Error?</v>
      </c>
    </row>
    <row r="5355" spans="1:4" x14ac:dyDescent="0.2">
      <c r="A5355" s="5">
        <v>5294</v>
      </c>
      <c r="B5355" s="138">
        <f>'Revenues 9-14'!D108</f>
        <v>10330</v>
      </c>
      <c r="C5355" s="2" t="s">
        <v>573</v>
      </c>
      <c r="D5355" s="2" t="str">
        <f t="shared" si="82"/>
        <v>Error?</v>
      </c>
    </row>
    <row r="5356" spans="1:4" x14ac:dyDescent="0.2">
      <c r="A5356" s="5">
        <v>5295</v>
      </c>
      <c r="B5356" s="138">
        <f>'Revenues 9-14'!D109</f>
        <v>361101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6919</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6919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368020</v>
      </c>
      <c r="C5508" s="2" t="s">
        <v>573</v>
      </c>
      <c r="D5508" s="2" t="str">
        <f t="shared" si="85"/>
        <v>Error?</v>
      </c>
    </row>
    <row r="5509" spans="1:4" x14ac:dyDescent="0.2">
      <c r="A5509" s="5">
        <v>5448</v>
      </c>
      <c r="B5509" s="138">
        <f>'Revenues 9-14'!E5</f>
        <v>110028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110028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110135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110135</v>
      </c>
      <c r="C5552" s="2" t="s">
        <v>573</v>
      </c>
      <c r="D5552" s="2" t="str">
        <f t="shared" si="85"/>
        <v>Error?</v>
      </c>
    </row>
    <row r="5553" spans="1:4" x14ac:dyDescent="0.2">
      <c r="A5553" s="5">
        <v>5492</v>
      </c>
      <c r="B5553" s="138">
        <f>'Revenues 9-14'!F5</f>
        <v>159428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159428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509</v>
      </c>
      <c r="D5586" s="2" t="str">
        <f t="shared" si="86"/>
        <v>Error?</v>
      </c>
    </row>
    <row r="5587" spans="1:4" x14ac:dyDescent="0.2">
      <c r="A5587" s="5">
        <v>5526</v>
      </c>
      <c r="B5587" s="138">
        <f>'Revenues 9-14'!F108</f>
        <v>509</v>
      </c>
      <c r="C5587" s="2" t="s">
        <v>573</v>
      </c>
      <c r="D5587" s="2" t="str">
        <f t="shared" si="86"/>
        <v>Error?</v>
      </c>
    </row>
    <row r="5588" spans="1:4" x14ac:dyDescent="0.2">
      <c r="A5588" s="5">
        <v>5527</v>
      </c>
      <c r="B5588" s="138">
        <f>'Revenues 9-14'!F109</f>
        <v>160588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68411</v>
      </c>
      <c r="D5615" s="2" t="str">
        <f t="shared" si="86"/>
        <v>Error?</v>
      </c>
    </row>
    <row r="5616" spans="1:4" x14ac:dyDescent="0.2">
      <c r="A5616" s="10">
        <v>5555</v>
      </c>
      <c r="D5616" s="2" t="str">
        <f t="shared" si="86"/>
        <v>OK</v>
      </c>
    </row>
    <row r="5617" spans="1:5" x14ac:dyDescent="0.2">
      <c r="A5617" s="5">
        <v>5556</v>
      </c>
      <c r="B5617" s="138">
        <f>'Revenues 9-14'!F153</f>
        <v>40567</v>
      </c>
      <c r="D5617" s="2" t="str">
        <f t="shared" si="86"/>
        <v>Error?</v>
      </c>
    </row>
    <row r="5618" spans="1:5" x14ac:dyDescent="0.2">
      <c r="A5618" s="5">
        <v>5557</v>
      </c>
      <c r="B5618" s="138">
        <f>'Revenues 9-14'!F155</f>
        <v>108978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108978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108978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269566</v>
      </c>
      <c r="C5720" s="2" t="s">
        <v>573</v>
      </c>
      <c r="D5720" s="2" t="str">
        <f t="shared" si="88"/>
        <v>Error?</v>
      </c>
    </row>
    <row r="5721" spans="1:4" x14ac:dyDescent="0.2">
      <c r="A5721" s="5">
        <v>5660</v>
      </c>
      <c r="B5721" s="138">
        <f>'Revenues 9-14'!G5</f>
        <v>76873</v>
      </c>
      <c r="D5721" s="2" t="str">
        <f t="shared" si="88"/>
        <v>Error?</v>
      </c>
    </row>
    <row r="5722" spans="1:4" x14ac:dyDescent="0.2">
      <c r="A5722" s="5">
        <v>5661</v>
      </c>
      <c r="B5722" s="138">
        <f>'Revenues 9-14'!G7</f>
        <v>0</v>
      </c>
      <c r="D5722" s="2" t="str">
        <f t="shared" si="88"/>
        <v>Error?</v>
      </c>
    </row>
    <row r="5723" spans="1:4" x14ac:dyDescent="0.2">
      <c r="A5723" s="5">
        <v>5662</v>
      </c>
      <c r="B5723" s="138">
        <f>'Revenues 9-14'!G8</f>
        <v>76873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153746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4698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4698</v>
      </c>
      <c r="C5730" s="2" t="s">
        <v>573</v>
      </c>
      <c r="D5730" s="2" t="str">
        <f t="shared" si="88"/>
        <v>Error?</v>
      </c>
    </row>
    <row r="5731" spans="1:4" x14ac:dyDescent="0.2">
      <c r="A5731" s="5">
        <v>5670</v>
      </c>
      <c r="B5731" s="138">
        <f>'Revenues 9-14'!G65</f>
        <v>1547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1547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159991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147833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148656</v>
      </c>
      <c r="C5915" s="2" t="s">
        <v>573</v>
      </c>
      <c r="D5915" s="2" t="str">
        <f t="shared" si="91"/>
        <v>Error?</v>
      </c>
    </row>
    <row r="5916" spans="1:4" x14ac:dyDescent="0.2">
      <c r="A5916" s="5">
        <v>5855</v>
      </c>
      <c r="B5916" s="138">
        <f>'Revenues 9-14'!I5</f>
        <v>27691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27691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7739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7739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35430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28064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28064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28271</v>
      </c>
      <c r="C6023" s="2" t="s">
        <v>573</v>
      </c>
      <c r="D6023" s="2" t="str">
        <f t="shared" si="93"/>
        <v>Error?</v>
      </c>
    </row>
    <row r="6024" spans="1:5" x14ac:dyDescent="0.2">
      <c r="A6024" s="5">
        <v>5963</v>
      </c>
      <c r="B6024" s="138">
        <f>'Revenues 9-14'!G109</f>
        <v>159991</v>
      </c>
      <c r="C6024" s="2" t="s">
        <v>573</v>
      </c>
      <c r="D6024" s="2" t="str">
        <f t="shared" si="93"/>
        <v>Error?</v>
      </c>
    </row>
    <row r="6025" spans="1:5" x14ac:dyDescent="0.2">
      <c r="A6025" s="5">
        <v>5964</v>
      </c>
      <c r="B6025" s="138">
        <f>'Revenues 9-14'!H109</f>
        <v>148656</v>
      </c>
      <c r="C6025" s="2" t="s">
        <v>573</v>
      </c>
      <c r="D6025" s="2" t="str">
        <f t="shared" si="93"/>
        <v>Error?</v>
      </c>
    </row>
    <row r="6026" spans="1:5" x14ac:dyDescent="0.2">
      <c r="A6026" s="5">
        <v>5965</v>
      </c>
      <c r="B6026" s="138">
        <f>'Revenues 9-14'!I109</f>
        <v>35430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28271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42654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14589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6066</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6066</v>
      </c>
      <c r="D6127" s="2" t="str">
        <f t="shared" si="94"/>
        <v>OK</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444</v>
      </c>
      <c r="D6215" s="2" t="str">
        <f t="shared" si="96"/>
        <v>Error?</v>
      </c>
      <c r="E6215" s="2" t="s">
        <v>190</v>
      </c>
    </row>
    <row r="6216" spans="1:5" x14ac:dyDescent="0.2">
      <c r="A6216">
        <v>6155</v>
      </c>
      <c r="B6216" s="138">
        <f>'Assets-Liab 5-6'!J41</f>
        <v>463</v>
      </c>
      <c r="D6216" s="2" t="str">
        <f t="shared" si="96"/>
        <v>Error?</v>
      </c>
      <c r="E6216" s="2" t="s">
        <v>190</v>
      </c>
    </row>
    <row r="6217" spans="1:5" x14ac:dyDescent="0.2">
      <c r="A6217">
        <v>6156</v>
      </c>
      <c r="B6217" s="138">
        <f>'Assets-Liab 5-6'!J4</f>
        <v>463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115210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115210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115210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120383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120383</v>
      </c>
      <c r="D6229" s="2" t="str">
        <f t="shared" si="96"/>
        <v>Error?</v>
      </c>
      <c r="E6229" s="2" t="s">
        <v>190</v>
      </c>
    </row>
    <row r="6230" spans="1:5" x14ac:dyDescent="0.2">
      <c r="A6230">
        <v>6169</v>
      </c>
      <c r="B6230" s="138">
        <f>'Acct Summary 7-8'!J20</f>
        <v>-5173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-5173</v>
      </c>
      <c r="D6263" s="2" t="str">
        <f t="shared" si="96"/>
        <v>Error?</v>
      </c>
      <c r="E6263" s="2" t="s">
        <v>190</v>
      </c>
    </row>
    <row r="6264" spans="1:5" x14ac:dyDescent="0.2">
      <c r="A6264">
        <v>6203</v>
      </c>
      <c r="B6264" s="138">
        <f>'Acct Summary 7-8'!J79</f>
        <v>5617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444</v>
      </c>
      <c r="D6266" s="2" t="str">
        <f t="shared" si="96"/>
        <v>Error?</v>
      </c>
      <c r="E6266" s="2" t="s">
        <v>190</v>
      </c>
    </row>
    <row r="6267" spans="1:5" x14ac:dyDescent="0.2">
      <c r="A6267">
        <v>6206</v>
      </c>
      <c r="B6267" s="138">
        <f>'Acct Summary 7-8'!C82</f>
        <v>238168</v>
      </c>
      <c r="D6267" s="2" t="str">
        <f t="shared" si="96"/>
        <v>Error?</v>
      </c>
      <c r="E6267" s="2" t="s">
        <v>190</v>
      </c>
    </row>
    <row r="6268" spans="1:5" x14ac:dyDescent="0.2">
      <c r="A6268">
        <v>6207</v>
      </c>
      <c r="B6268" s="138">
        <f>'Acct Summary 7-8'!D82</f>
        <v>49284</v>
      </c>
      <c r="D6268" s="2" t="str">
        <f t="shared" si="96"/>
        <v>Error?</v>
      </c>
      <c r="E6268" s="2" t="s">
        <v>190</v>
      </c>
    </row>
    <row r="6269" spans="1:5" x14ac:dyDescent="0.2">
      <c r="A6269">
        <v>6208</v>
      </c>
      <c r="B6269" s="138">
        <f>'Acct Summary 7-8'!E82</f>
        <v>-90</v>
      </c>
      <c r="D6269" s="2" t="str">
        <f t="shared" si="96"/>
        <v>Error?</v>
      </c>
      <c r="E6269" s="2" t="s">
        <v>190</v>
      </c>
    </row>
    <row r="6270" spans="1:5" x14ac:dyDescent="0.2">
      <c r="A6270">
        <v>6209</v>
      </c>
      <c r="B6270" s="138">
        <f>'Acct Summary 7-8'!F82</f>
        <v>-17414</v>
      </c>
      <c r="D6270" s="2" t="str">
        <f t="shared" si="96"/>
        <v>Error?</v>
      </c>
      <c r="E6270" s="2" t="s">
        <v>190</v>
      </c>
    </row>
    <row r="6271" spans="1:5" x14ac:dyDescent="0.2">
      <c r="A6271">
        <v>6210</v>
      </c>
      <c r="B6271" s="138">
        <f>'Acct Summary 7-8'!G82</f>
        <v>8938</v>
      </c>
      <c r="D6271" s="2" t="str">
        <f t="shared" ref="D6271:D6334" si="97">IF(ISBLANK(B6271),"OK",IF(A6271-B6271=0,"OK","Error?"))</f>
        <v>Error?</v>
      </c>
      <c r="E6271" s="2" t="s">
        <v>190</v>
      </c>
    </row>
    <row r="6272" spans="1:5" x14ac:dyDescent="0.2">
      <c r="A6272">
        <v>6211</v>
      </c>
      <c r="B6272" s="138">
        <f>'Acct Summary 7-8'!H82</f>
        <v>-95710</v>
      </c>
      <c r="D6272" s="2" t="str">
        <f t="shared" si="97"/>
        <v>Error?</v>
      </c>
      <c r="E6272" s="2" t="s">
        <v>190</v>
      </c>
    </row>
    <row r="6273" spans="1:5" x14ac:dyDescent="0.2">
      <c r="A6273">
        <v>6212</v>
      </c>
      <c r="B6273" s="138">
        <f>'Acct Summary 7-8'!I82</f>
        <v>35430</v>
      </c>
      <c r="D6273" s="2" t="str">
        <f t="shared" si="97"/>
        <v>Error?</v>
      </c>
      <c r="E6273" s="2" t="s">
        <v>190</v>
      </c>
    </row>
    <row r="6274" spans="1:5" x14ac:dyDescent="0.2">
      <c r="A6274">
        <v>6213</v>
      </c>
      <c r="B6274" s="138">
        <f>'Acct Summary 7-8'!J82</f>
        <v>-5173</v>
      </c>
      <c r="D6274" s="2" t="str">
        <f t="shared" si="97"/>
        <v>Error?</v>
      </c>
      <c r="E6274" s="2" t="s">
        <v>190</v>
      </c>
    </row>
    <row r="6275" spans="1:5" x14ac:dyDescent="0.2">
      <c r="A6275">
        <v>6214</v>
      </c>
      <c r="B6275" s="138">
        <f>'Acct Summary 7-8'!K82</f>
        <v>19288</v>
      </c>
      <c r="D6275" s="2" t="str">
        <f t="shared" si="97"/>
        <v>Error?</v>
      </c>
      <c r="E6275" s="2" t="s">
        <v>190</v>
      </c>
    </row>
    <row r="6276" spans="1:5" x14ac:dyDescent="0.2">
      <c r="A6276">
        <v>6215</v>
      </c>
      <c r="B6276" s="138">
        <f>'Acct Summary 7-8'!C83</f>
        <v>0.22348083924482978</v>
      </c>
      <c r="D6276" s="2" t="str">
        <f t="shared" si="97"/>
        <v>Error?</v>
      </c>
      <c r="E6276" s="2" t="s">
        <v>190</v>
      </c>
    </row>
    <row r="6277" spans="1:5" x14ac:dyDescent="0.2">
      <c r="A6277">
        <v>6216</v>
      </c>
      <c r="B6277" s="138">
        <f>'Acct Summary 7-8'!D83</f>
        <v>0.20209293552249577</v>
      </c>
      <c r="D6277" s="2" t="str">
        <f t="shared" si="97"/>
        <v>Error?</v>
      </c>
      <c r="E6277" s="2" t="s">
        <v>190</v>
      </c>
    </row>
    <row r="6278" spans="1:5" x14ac:dyDescent="0.2">
      <c r="A6278">
        <v>6217</v>
      </c>
      <c r="B6278" s="138">
        <f>'Acct Summary 7-8'!E83</f>
        <v>1.4773473407747865E-2</v>
      </c>
      <c r="D6278" s="2" t="str">
        <f t="shared" si="97"/>
        <v>Error?</v>
      </c>
      <c r="E6278" s="2" t="s">
        <v>190</v>
      </c>
    </row>
    <row r="6279" spans="1:5" x14ac:dyDescent="0.2">
      <c r="A6279">
        <v>6218</v>
      </c>
      <c r="B6279" s="138">
        <f>'Acct Summary 7-8'!F83</f>
        <v>-0.13052603175079078</v>
      </c>
      <c r="D6279" s="2" t="str">
        <f t="shared" si="97"/>
        <v>Error?</v>
      </c>
      <c r="E6279" s="2" t="s">
        <v>190</v>
      </c>
    </row>
    <row r="6280" spans="1:5" x14ac:dyDescent="0.2">
      <c r="A6280">
        <v>6219</v>
      </c>
      <c r="B6280" s="138">
        <f>'Acct Summary 7-8'!G83</f>
        <v>3.0330486244727457E-2</v>
      </c>
      <c r="D6280" s="2" t="str">
        <f t="shared" si="97"/>
        <v>Error?</v>
      </c>
      <c r="E6280" s="2" t="s">
        <v>190</v>
      </c>
    </row>
    <row r="6281" spans="1:5" x14ac:dyDescent="0.2">
      <c r="A6281">
        <v>6220</v>
      </c>
      <c r="B6281" s="138">
        <f>'Acct Summary 7-8'!H83</f>
        <v>-1.003596631958644</v>
      </c>
      <c r="D6281" s="2" t="str">
        <f t="shared" si="97"/>
        <v>Error?</v>
      </c>
      <c r="E6281" s="2" t="s">
        <v>190</v>
      </c>
    </row>
    <row r="6282" spans="1:5" x14ac:dyDescent="0.2">
      <c r="A6282">
        <v>6221</v>
      </c>
      <c r="B6282" s="138">
        <f>'Acct Summary 7-8'!I83</f>
        <v>6.0708557799070612E-2</v>
      </c>
      <c r="D6282" s="2" t="str">
        <f t="shared" si="97"/>
        <v>Error?</v>
      </c>
      <c r="E6282" s="2" t="s">
        <v>190</v>
      </c>
    </row>
    <row r="6283" spans="1:5" x14ac:dyDescent="0.2">
      <c r="A6283">
        <v>6222</v>
      </c>
      <c r="B6283" s="138">
        <f>'Acct Summary 7-8'!J83</f>
        <v>-11.650900900900901</v>
      </c>
      <c r="D6283" s="2" t="str">
        <f t="shared" si="97"/>
        <v>Error?</v>
      </c>
      <c r="E6283" s="2" t="s">
        <v>190</v>
      </c>
    </row>
    <row r="6284" spans="1:5" x14ac:dyDescent="0.2">
      <c r="A6284">
        <v>6223</v>
      </c>
      <c r="B6284" s="138">
        <f>'Acct Summary 7-8'!K83</f>
        <v>0.37150891790901036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114909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114909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115210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26962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58835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150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72372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27178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120383</v>
      </c>
      <c r="D7042" s="2" t="str">
        <f t="shared" si="109"/>
        <v>Error?</v>
      </c>
    </row>
    <row r="7043" spans="1:5" x14ac:dyDescent="0.2">
      <c r="A7043">
        <v>6982</v>
      </c>
      <c r="B7043" s="138">
        <f>'Revenues 9-14'!H9</f>
        <v>0</v>
      </c>
      <c r="D7043" s="2" t="str">
        <f t="shared" si="109"/>
        <v>Error?</v>
      </c>
    </row>
    <row r="7044" spans="1:5" x14ac:dyDescent="0.2">
      <c r="A7044">
        <v>6983</v>
      </c>
      <c r="B7044" s="138">
        <f>'Revenues 9-14'!D106</f>
        <v>1300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115210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3775</v>
      </c>
      <c r="D7073" s="2" t="str">
        <f t="shared" si="109"/>
        <v>Error?</v>
      </c>
    </row>
    <row r="7074" spans="1:4" x14ac:dyDescent="0.2">
      <c r="A7074">
        <v>7013</v>
      </c>
      <c r="B7074" s="138">
        <f>'Expenditures 15-22'!K216</f>
        <v>3775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317</v>
      </c>
      <c r="D7079" s="2" t="str">
        <f t="shared" si="109"/>
        <v>Error?</v>
      </c>
    </row>
    <row r="7080" spans="1:4" x14ac:dyDescent="0.2">
      <c r="A7080">
        <v>7019</v>
      </c>
      <c r="B7080" s="138">
        <f>'Expenditures 15-22'!K226</f>
        <v>317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88639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19212</v>
      </c>
      <c r="D7174" s="2" t="str">
        <f t="shared" si="111"/>
        <v>Error?</v>
      </c>
    </row>
    <row r="7175" spans="1:4" x14ac:dyDescent="0.2">
      <c r="A7175">
        <v>7114</v>
      </c>
      <c r="B7175" s="138">
        <f>'Expenditures 15-22'!F325</f>
        <v>299</v>
      </c>
      <c r="D7175" s="2" t="str">
        <f t="shared" si="111"/>
        <v>Error?</v>
      </c>
    </row>
    <row r="7176" spans="1:4" x14ac:dyDescent="0.2">
      <c r="A7176">
        <v>7115</v>
      </c>
      <c r="B7176" s="138">
        <f>'Expenditures 15-22'!G325</f>
        <v>7691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115841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2434</v>
      </c>
      <c r="D7198" s="2" t="str">
        <f t="shared" si="111"/>
        <v>Error?</v>
      </c>
    </row>
    <row r="7199" spans="1:4" x14ac:dyDescent="0.2">
      <c r="A7199">
        <v>7138</v>
      </c>
      <c r="B7199" s="138">
        <f>'Expenditures 15-22'!C330</f>
        <v>88639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23754</v>
      </c>
      <c r="D7201" s="2" t="str">
        <f t="shared" si="111"/>
        <v>Error?</v>
      </c>
    </row>
    <row r="7202" spans="1:4" x14ac:dyDescent="0.2">
      <c r="A7202">
        <v>7141</v>
      </c>
      <c r="B7202" s="138">
        <f>'Expenditures 15-22'!F330</f>
        <v>299</v>
      </c>
      <c r="D7202" s="2" t="str">
        <f t="shared" si="111"/>
        <v>Error?</v>
      </c>
    </row>
    <row r="7203" spans="1:4" x14ac:dyDescent="0.2">
      <c r="A7203">
        <v>7142</v>
      </c>
      <c r="B7203" s="138">
        <f>'Expenditures 15-22'!G330</f>
        <v>7691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120383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88639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23754</v>
      </c>
      <c r="D7218" s="2" t="str">
        <f t="shared" si="111"/>
        <v>Error?</v>
      </c>
    </row>
    <row r="7219" spans="1:4" x14ac:dyDescent="0.2">
      <c r="A7219">
        <v>7158</v>
      </c>
      <c r="B7219" s="138">
        <f>'Expenditures 15-22'!F342</f>
        <v>299</v>
      </c>
      <c r="D7219" s="2" t="str">
        <f t="shared" si="111"/>
        <v>Error?</v>
      </c>
    </row>
    <row r="7220" spans="1:4" x14ac:dyDescent="0.2">
      <c r="A7220">
        <v>7159</v>
      </c>
      <c r="B7220" s="138">
        <f>'Expenditures 15-22'!G342</f>
        <v>7691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120383</v>
      </c>
      <c r="D7224" s="2" t="str">
        <f t="shared" si="111"/>
        <v>Error?</v>
      </c>
    </row>
    <row r="7225" spans="1:4" x14ac:dyDescent="0.2">
      <c r="A7225">
        <v>7164</v>
      </c>
      <c r="B7225" s="138">
        <f>'Expenditures 15-22'!K343</f>
        <v>-5173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12290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1247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22350</v>
      </c>
      <c r="D7263" s="2" t="str">
        <f t="shared" si="112"/>
        <v>Error?</v>
      </c>
    </row>
    <row r="7264" spans="1:4" x14ac:dyDescent="0.2">
      <c r="A7264">
        <f t="shared" si="113"/>
        <v>7203</v>
      </c>
      <c r="B7264" s="138">
        <f>'Expenditures 15-22'!D17</f>
        <v>3253</v>
      </c>
      <c r="D7264" s="2" t="str">
        <f t="shared" si="112"/>
        <v>Error?</v>
      </c>
    </row>
    <row r="7265" spans="1:5" x14ac:dyDescent="0.2">
      <c r="A7265">
        <f t="shared" si="113"/>
        <v>7204</v>
      </c>
      <c r="B7265" s="138">
        <f>'Expenditures 15-22'!E17</f>
        <v>1575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90712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90712</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90712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194516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165062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823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1250</v>
      </c>
      <c r="D7712" s="2" t="str">
        <f t="shared" si="126"/>
        <v>Error?</v>
      </c>
      <c r="E7712" s="2" t="s">
        <v>827</v>
      </c>
    </row>
    <row r="7713" spans="1:6" x14ac:dyDescent="0.2">
      <c r="A7713">
        <v>7652</v>
      </c>
      <c r="B7713" s="138">
        <f>'Rest Tax Levies-Tort Im 25'!J8</f>
        <v>147833</v>
      </c>
      <c r="D7713" s="2" t="str">
        <f t="shared" si="126"/>
        <v>Error?</v>
      </c>
      <c r="E7713" s="2" t="s">
        <v>827</v>
      </c>
    </row>
    <row r="7714" spans="1:6" x14ac:dyDescent="0.2">
      <c r="A7714">
        <v>7653</v>
      </c>
      <c r="B7714" s="138">
        <f>'Rest Tax Levies-Tort Im 25'!K9</f>
        <v>5702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148656</v>
      </c>
      <c r="D7718" s="2" t="str">
        <f t="shared" si="126"/>
        <v>Error?</v>
      </c>
      <c r="E7718" s="2" t="s">
        <v>827</v>
      </c>
    </row>
    <row r="7719" spans="1:6" x14ac:dyDescent="0.2">
      <c r="A7719">
        <v>7658</v>
      </c>
      <c r="B7719" s="138">
        <f>'Rest Tax Levies-Tort Im 25'!K12</f>
        <v>6952</v>
      </c>
      <c r="D7719" s="2" t="str">
        <f t="shared" si="126"/>
        <v>Error?</v>
      </c>
      <c r="E7719" s="2" t="s">
        <v>827</v>
      </c>
    </row>
    <row r="7720" spans="1:6" x14ac:dyDescent="0.2">
      <c r="A7720">
        <v>7659</v>
      </c>
      <c r="B7720" s="138">
        <f>'Rest Tax Levies-Tort Im 25'!H14</f>
        <v>22453</v>
      </c>
      <c r="D7720" s="2" t="str">
        <f t="shared" si="126"/>
        <v>Error?</v>
      </c>
      <c r="E7720" s="2" t="s">
        <v>827</v>
      </c>
    </row>
    <row r="7721" spans="1:6" x14ac:dyDescent="0.2">
      <c r="A7721">
        <v>7660</v>
      </c>
      <c r="B7721" s="138">
        <f>'Rest Tax Levies-Tort Im 25'!K14</f>
        <v>27178</v>
      </c>
      <c r="D7721" s="2" t="str">
        <f t="shared" si="126"/>
        <v>Error?</v>
      </c>
      <c r="E7721" s="2" t="s">
        <v>827</v>
      </c>
    </row>
    <row r="7722" spans="1:6" x14ac:dyDescent="0.2">
      <c r="A7722">
        <v>7661</v>
      </c>
      <c r="B7722" s="138">
        <f>'Rest Tax Levies-Tort Im 25'!J15</f>
        <v>147439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218351</v>
      </c>
      <c r="D7730" s="2" t="str">
        <f t="shared" si="126"/>
        <v>Error?</v>
      </c>
      <c r="E7730" s="2" t="s">
        <v>827</v>
      </c>
    </row>
    <row r="7731" spans="1:6" x14ac:dyDescent="0.2">
      <c r="A7731">
        <v>7670</v>
      </c>
      <c r="B7731" s="138">
        <f>'Revenues 9-14'!H103</f>
        <v>147833</v>
      </c>
      <c r="D7731" s="2" t="str">
        <f t="shared" si="126"/>
        <v>Error?</v>
      </c>
      <c r="E7731" s="2" t="s">
        <v>827</v>
      </c>
    </row>
    <row r="7732" spans="1:6" x14ac:dyDescent="0.2">
      <c r="A7732">
        <v>7671</v>
      </c>
      <c r="B7732" s="138">
        <f>'Rest Tax Levies-Tort Im 25'!J24</f>
        <v>95367</v>
      </c>
      <c r="D7732" s="2" t="str">
        <f t="shared" si="126"/>
        <v>Error?</v>
      </c>
      <c r="E7732" s="2" t="s">
        <v>827</v>
      </c>
    </row>
    <row r="7733" spans="1:6" x14ac:dyDescent="0.2">
      <c r="A7733">
        <v>7672</v>
      </c>
      <c r="B7733" s="138">
        <f>'Rest Tax Levies-Tort Im 25'!K24</f>
        <v>-20226</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95367</v>
      </c>
      <c r="D7742" s="2" t="str">
        <f t="shared" si="126"/>
        <v>Error?</v>
      </c>
      <c r="E7742" s="2" t="s">
        <v>827</v>
      </c>
    </row>
    <row r="7743" spans="1:6" x14ac:dyDescent="0.2">
      <c r="A7743">
        <v>7682</v>
      </c>
      <c r="B7743" s="138">
        <f>'Rest Tax Levies-Tort Im 25'!K26</f>
        <v>-20226</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70912</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Greenfield CUSD 10</v>
      </c>
      <c r="B7" s="2384"/>
      <c r="C7" s="2384"/>
      <c r="D7" s="2421"/>
      <c r="E7" s="2422">
        <f>COVER!A13</f>
        <v>40031010026</v>
      </c>
      <c r="F7" s="2423"/>
      <c r="G7" s="2390" t="str">
        <f>COVER!T23</f>
        <v>065.040574</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SCHEFFEL BOYLE</v>
      </c>
      <c r="H9" s="2397"/>
      <c r="I9" s="2397"/>
      <c r="J9" s="2397"/>
      <c r="K9" s="2397"/>
      <c r="L9" s="2398"/>
    </row>
    <row r="10" spans="1:29" ht="13.5" customHeight="1" x14ac:dyDescent="0.2">
      <c r="A10" s="2380" t="str">
        <f>COVER!A38</f>
        <v>KEVIN BOWMAN</v>
      </c>
      <c r="B10" s="2381"/>
      <c r="C10" s="2381"/>
      <c r="D10" s="2381"/>
      <c r="E10" s="2381"/>
      <c r="F10" s="2382"/>
      <c r="G10" s="2396" t="str">
        <f>COVER!T17</f>
        <v>106 WEST COUNTY ROAD</v>
      </c>
      <c r="H10" s="2409"/>
      <c r="I10" s="2409"/>
      <c r="J10" s="2409"/>
      <c r="K10" s="2409"/>
      <c r="L10" s="2410"/>
    </row>
    <row r="11" spans="1:29" ht="13.5" customHeight="1" x14ac:dyDescent="0.2">
      <c r="A11" s="1184" t="s">
        <v>1519</v>
      </c>
      <c r="B11" s="1185"/>
      <c r="C11" s="1186"/>
      <c r="D11" s="1191"/>
      <c r="E11" s="1186"/>
      <c r="F11" s="1190"/>
      <c r="G11" s="2396" t="str">
        <f>COVER!T19</f>
        <v>JERSEYVILLE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danny.phipps@scheffelboyle.com</v>
      </c>
      <c r="J13" s="2418"/>
      <c r="K13" s="2418"/>
      <c r="L13" s="2419"/>
    </row>
    <row r="14" spans="1:29" ht="13.5" customHeight="1" x14ac:dyDescent="0.2">
      <c r="A14" s="2396" t="str">
        <f>COVER!A19</f>
        <v>311 MULBERRY ST</v>
      </c>
      <c r="B14" s="2409"/>
      <c r="C14" s="2409"/>
      <c r="D14" s="2409"/>
      <c r="E14" s="2409"/>
      <c r="F14" s="2410"/>
      <c r="G14" s="1195" t="s">
        <v>1185</v>
      </c>
      <c r="H14" s="1193"/>
      <c r="I14" s="1193"/>
      <c r="J14" s="1193"/>
      <c r="K14" s="1193"/>
      <c r="L14" s="1194"/>
    </row>
    <row r="15" spans="1:29" ht="13.5" customHeight="1" x14ac:dyDescent="0.2">
      <c r="A15" s="2396" t="str">
        <f>COVER!A21</f>
        <v>GREENFIELD</v>
      </c>
      <c r="B15" s="2409"/>
      <c r="C15" s="2409"/>
      <c r="D15" s="2409"/>
      <c r="E15" s="2409"/>
      <c r="F15" s="2410"/>
      <c r="G15" s="2406" t="str">
        <f>COVER!T15</f>
        <v>DANNY PHIPPS, CPA</v>
      </c>
      <c r="H15" s="2407"/>
      <c r="I15" s="2407"/>
      <c r="J15" s="2407"/>
      <c r="K15" s="2407"/>
      <c r="L15" s="2408"/>
    </row>
    <row r="16" spans="1:29" ht="12.2" customHeight="1" x14ac:dyDescent="0.2">
      <c r="A16" s="2386">
        <f>COVER!A25</f>
        <v>62044</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618-498-6841</v>
      </c>
      <c r="H18" s="2384"/>
      <c r="I18" s="2384"/>
      <c r="J18" s="2384"/>
      <c r="K18" s="2383" t="str">
        <f>COVER!X21</f>
        <v>618-498-6842</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Greenfield CUSD 10</v>
      </c>
      <c r="B1" s="2420"/>
      <c r="C1" s="2420"/>
      <c r="D1" s="2420"/>
    </row>
    <row r="2" spans="1:11" s="1212" customFormat="1" ht="12.75" x14ac:dyDescent="0.2">
      <c r="A2" s="2425">
        <f>'Single Audit Cover'!E7</f>
        <v>40031010026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Greenfield CUSD 10</v>
      </c>
      <c r="B1" s="2428"/>
      <c r="C1" s="2428"/>
      <c r="D1" s="2428"/>
      <c r="E1" s="2428"/>
    </row>
    <row r="2" spans="1:5" x14ac:dyDescent="0.2">
      <c r="A2" s="2429">
        <f>'Single Audit Cover'!E7</f>
        <v>40031010026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268928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14589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-61488</v>
      </c>
    </row>
    <row r="19" spans="1:4" ht="13.5" thickBot="1" x14ac:dyDescent="0.25">
      <c r="A19" s="1262" t="s">
        <v>1235</v>
      </c>
      <c r="D19" s="1263">
        <f>SUM(D10:D17)</f>
        <v>222029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222029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222029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Greenfield CUSD 10</v>
      </c>
      <c r="C1" s="2432"/>
      <c r="D1" s="2432"/>
      <c r="E1" s="2432"/>
      <c r="F1" s="2432"/>
      <c r="G1" s="2432"/>
      <c r="H1" s="2432"/>
      <c r="I1" s="2432"/>
      <c r="J1" s="2432"/>
      <c r="K1" s="2432"/>
      <c r="L1" s="2432"/>
      <c r="M1" s="2432"/>
    </row>
    <row r="2" spans="2:14" ht="15" x14ac:dyDescent="0.2">
      <c r="B2" s="2433">
        <f>'Single Audit Cover'!E7</f>
        <v>40031010026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Greenfield CUSD 10</v>
      </c>
      <c r="B1" s="2437"/>
      <c r="C1" s="2437"/>
      <c r="D1" s="2437"/>
      <c r="E1" s="2437"/>
      <c r="F1" s="2437"/>
    </row>
    <row r="2" spans="1:7" ht="13.5" customHeight="1" x14ac:dyDescent="0.2">
      <c r="A2" s="2433">
        <f>'Single Audit Cover'!E7</f>
        <v>40031010026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61" colorId="8" zoomScaleNormal="110" workbookViewId="0">
      <selection activeCell="M80" sqref="M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42101</v>
      </c>
      <c r="I53" s="237" t="s">
        <v>1483</v>
      </c>
    </row>
    <row r="54" spans="1:10" s="181" customFormat="1" x14ac:dyDescent="0.2">
      <c r="A54" s="219"/>
      <c r="B54" s="220" t="s">
        <v>2068</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2101</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2102</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OddEven="1" differentFirst="1" scaleWithDoc="0">
    <oddHeader xml:space="preserve">&amp;C </oddHeader>
    <oddFooter>&amp;LSee notes to financial statements.&amp;C7</oddFooter>
    <firstFooter>&amp;LSee notes to financial statements.&amp;C2</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 sqref="A4:I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Greenfield CUSD 10</v>
      </c>
      <c r="C1" s="2453"/>
      <c r="D1" s="2453"/>
      <c r="E1" s="2453"/>
      <c r="F1" s="2453"/>
      <c r="G1" s="2453"/>
      <c r="H1" s="2453"/>
      <c r="I1" s="2453"/>
      <c r="J1" s="1406"/>
    </row>
    <row r="2" spans="2:10" s="317" customFormat="1" ht="12.75" customHeight="1" x14ac:dyDescent="0.2">
      <c r="B2" s="2454">
        <f>'Single Audit Cover'!E7</f>
        <v>40031010026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8" zoomScale="110" zoomScaleNormal="110" workbookViewId="0">
      <selection activeCell="B40" sqref="B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Greenfield CUSD 10</v>
      </c>
      <c r="C1" s="2452"/>
      <c r="D1" s="2452"/>
      <c r="E1" s="2452"/>
      <c r="F1" s="2452"/>
      <c r="G1" s="2452"/>
      <c r="H1" s="2452"/>
      <c r="I1" s="2452"/>
      <c r="J1" s="2452"/>
      <c r="K1" s="2452"/>
      <c r="L1" s="1371"/>
      <c r="M1" s="1371"/>
    </row>
    <row r="2" spans="1:13" ht="12" customHeight="1" x14ac:dyDescent="0.2">
      <c r="B2" s="2454">
        <f>'Single Audit Cover'!E7</f>
        <v>40031010026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8"/>
      <c r="M3" s="1938"/>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2126</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2127</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2130</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2128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2129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2131</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2132</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5" zoomScale="110" zoomScaleNormal="110" workbookViewId="0">
      <selection activeCell="Q31" sqref="Q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Greenfield CUSD 10</v>
      </c>
      <c r="C1" s="2452"/>
      <c r="D1" s="2452"/>
      <c r="E1" s="2452"/>
      <c r="F1" s="2452"/>
      <c r="G1" s="2452"/>
      <c r="H1" s="2452"/>
      <c r="I1" s="2452"/>
      <c r="J1" s="2452"/>
      <c r="K1" s="2452"/>
      <c r="L1" s="1371"/>
      <c r="M1" s="1371"/>
    </row>
    <row r="2" spans="1:13" ht="12" customHeight="1" x14ac:dyDescent="0.2">
      <c r="B2" s="2454">
        <f>'Single Audit Cover'!E7</f>
        <v>40031010026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8"/>
      <c r="M3" s="1938"/>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2068</v>
      </c>
      <c r="J10" s="1387" t="s">
        <v>1293</v>
      </c>
      <c r="K10" s="322"/>
      <c r="L10" s="1378"/>
    </row>
    <row r="11" spans="1:13" ht="13.5" customHeight="1" x14ac:dyDescent="0.2">
      <c r="B11" s="322"/>
      <c r="C11" s="322"/>
      <c r="D11" s="322"/>
      <c r="E11" s="322"/>
      <c r="F11" s="322"/>
      <c r="G11" s="1380"/>
      <c r="H11" s="322"/>
      <c r="I11" s="1388" t="s">
        <v>1292</v>
      </c>
      <c r="J11" s="322"/>
      <c r="K11" s="1389" t="s">
        <v>2103</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2119</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2120</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2124</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2121</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2122</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2123</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2125</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7"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Greenfield CUSD 10</v>
      </c>
      <c r="C1" s="2452"/>
      <c r="D1" s="2452"/>
      <c r="E1" s="2452"/>
      <c r="F1" s="2452"/>
      <c r="G1" s="2452"/>
      <c r="H1" s="2452"/>
      <c r="I1" s="2452"/>
      <c r="J1" s="2452"/>
      <c r="K1" s="2452"/>
      <c r="L1" s="1371"/>
      <c r="M1" s="1371"/>
    </row>
    <row r="2" spans="1:13" ht="12" customHeight="1" x14ac:dyDescent="0.2">
      <c r="B2" s="2454">
        <f>'Single Audit Cover'!E7</f>
        <v>40031010026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2068</v>
      </c>
      <c r="J10" s="1387" t="s">
        <v>1293</v>
      </c>
      <c r="K10" s="322"/>
      <c r="L10" s="1378"/>
    </row>
    <row r="11" spans="1:13" ht="13.5" customHeight="1" x14ac:dyDescent="0.2">
      <c r="B11" s="322"/>
      <c r="C11" s="322"/>
      <c r="D11" s="322"/>
      <c r="E11" s="322"/>
      <c r="F11" s="322"/>
      <c r="G11" s="1380"/>
      <c r="H11" s="322"/>
      <c r="I11" s="1388" t="s">
        <v>1292</v>
      </c>
      <c r="J11" s="322"/>
      <c r="K11" s="1389" t="s">
        <v>2103</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2104</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2112</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2105</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2106</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2107</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2108</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2109</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Greenfield CUSD 10</v>
      </c>
      <c r="C1" s="2479"/>
      <c r="D1" s="2479"/>
      <c r="E1" s="2479"/>
      <c r="F1" s="2479"/>
      <c r="G1" s="2479"/>
      <c r="H1" s="2479"/>
      <c r="I1" s="2479"/>
      <c r="J1" s="2479"/>
      <c r="K1" s="2479"/>
      <c r="L1" s="1449"/>
    </row>
    <row r="2" spans="1:12" ht="12.75" customHeight="1" x14ac:dyDescent="0.2">
      <c r="B2" s="2480">
        <f>'Single Audit Cover'!E7</f>
        <v>40031010026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topLeftCell="A6" zoomScale="110" zoomScaleNormal="110" workbookViewId="0">
      <selection activeCell="D11" sqref="D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Greenfield CUSD 10</v>
      </c>
      <c r="C1" s="2452"/>
      <c r="D1" s="2452"/>
      <c r="E1" s="1469"/>
    </row>
    <row r="2" spans="2:5" s="1279" customFormat="1" ht="12.75" customHeight="1" x14ac:dyDescent="0.2">
      <c r="B2" s="2454">
        <f>'Single Audit Cover'!E7</f>
        <v>40031010026</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2110</v>
      </c>
      <c r="C8" s="324" t="s">
        <v>2114</v>
      </c>
      <c r="D8" s="324" t="s">
        <v>2111</v>
      </c>
      <c r="E8" s="324"/>
    </row>
    <row r="9" spans="2:5" ht="13.5" customHeight="1" x14ac:dyDescent="0.2">
      <c r="B9" s="1475"/>
      <c r="C9" s="323" t="s">
        <v>2113</v>
      </c>
      <c r="D9" s="323"/>
      <c r="E9" s="323"/>
    </row>
    <row r="10" spans="2:5" ht="13.5" customHeight="1" x14ac:dyDescent="0.2">
      <c r="B10" s="1474"/>
      <c r="C10" s="323"/>
      <c r="D10" s="323"/>
      <c r="E10" s="323"/>
    </row>
    <row r="11" spans="2:5" ht="13.5" customHeight="1" x14ac:dyDescent="0.2">
      <c r="B11" s="1474" t="s">
        <v>2115</v>
      </c>
      <c r="C11" s="323" t="s">
        <v>2116</v>
      </c>
      <c r="D11" s="323" t="s">
        <v>2118</v>
      </c>
      <c r="E11" s="323"/>
    </row>
    <row r="12" spans="2:5" ht="13.5" customHeight="1" x14ac:dyDescent="0.2">
      <c r="B12" s="1474"/>
      <c r="C12" s="323" t="s">
        <v>2117</v>
      </c>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colorId="8" zoomScaleNormal="110" workbookViewId="0">
      <selection activeCell="H64" sqref="H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60016993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3.0327900000000001E-2</v>
      </c>
      <c r="E10" s="356" t="s">
        <v>1005</v>
      </c>
      <c r="F10" s="355">
        <v>5.9002999999999998E-3</v>
      </c>
      <c r="G10" s="356" t="s">
        <v>1005</v>
      </c>
      <c r="H10" s="355">
        <v>4.0163999999999998E-3</v>
      </c>
      <c r="I10" s="356" t="s">
        <v>1006</v>
      </c>
      <c r="J10" s="1732">
        <f>ROUND(D10+F10+H10,5)</f>
        <v>4.0239999999999998E-2</v>
      </c>
      <c r="K10" s="222"/>
      <c r="L10" s="355">
        <v>4.8289999999999997E-4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4597358</v>
      </c>
      <c r="E16" s="356"/>
      <c r="F16" s="1733">
        <f>SUM('Acct Summary 7-8'!C17,'Acct Summary 7-8'!D17,'Acct Summary 7-8'!F17)</f>
        <v>4291890</v>
      </c>
      <c r="G16" s="356"/>
      <c r="H16" s="1733">
        <f>SUM(D16-F16)</f>
        <v>305468</v>
      </c>
      <c r="I16" s="222"/>
      <c r="J16" s="1733">
        <f>SUM('Acct Summary 7-8'!C81,'Acct Summary 7-8'!D81,'Acct Summary 7-8'!F81,'Acct Summary 7-8'!I81)</f>
        <v>2026610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8282345.0340000009</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937000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differentOddEven="1" scaleWithDoc="0">
    <oddFooter>&amp;LSee notes to financial statements.&amp;C3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30" zoomScaleNormal="110" workbookViewId="0">
      <selection activeCell="F45" sqref="F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Greenfield CUSD 10</v>
      </c>
      <c r="E7" s="391"/>
      <c r="G7" s="252"/>
      <c r="H7" s="387"/>
      <c r="I7" s="387"/>
      <c r="J7" s="387"/>
      <c r="K7" s="387"/>
      <c r="L7" s="329"/>
      <c r="M7" s="329"/>
      <c r="N7" s="329"/>
      <c r="O7" s="329"/>
      <c r="P7" s="329"/>
    </row>
    <row r="8" spans="1:18" ht="12.75" x14ac:dyDescent="0.2">
      <c r="A8" s="329"/>
      <c r="B8" s="329"/>
      <c r="C8" s="389" t="s">
        <v>1125</v>
      </c>
      <c r="D8" s="392">
        <f>COVER!A13</f>
        <v>40031010026</v>
      </c>
      <c r="E8" s="393"/>
      <c r="G8" s="329"/>
      <c r="H8" s="329"/>
      <c r="I8" s="329"/>
      <c r="J8" s="329"/>
      <c r="K8" s="329"/>
      <c r="L8" s="329"/>
      <c r="M8" s="329"/>
      <c r="N8" s="329"/>
      <c r="O8" s="329"/>
      <c r="P8" s="329"/>
    </row>
    <row r="9" spans="1:18" ht="12.75" x14ac:dyDescent="0.2">
      <c r="A9" s="329"/>
      <c r="B9" s="329"/>
      <c r="C9" s="389" t="s">
        <v>713</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2026610</v>
      </c>
      <c r="I12" s="404"/>
      <c r="J12" s="404"/>
      <c r="K12" s="405">
        <f>TRUNC((H12/H13*100000),5)/100000</f>
        <v>0.44082057559999999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4597358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4291890</v>
      </c>
      <c r="I17" s="404"/>
      <c r="J17" s="416"/>
      <c r="K17" s="405">
        <f>TRUNC((H17/H18*100000),5)/100000</f>
        <v>0.93355575089999998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4597358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2021128</v>
      </c>
      <c r="I24" s="422"/>
      <c r="J24" s="422"/>
      <c r="K24" s="423">
        <f>TRUNC(((H24/H25*100000)/100000),2)</f>
        <v>169.53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11921.916670000001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2052821.22857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937000</v>
      </c>
      <c r="I32" s="420"/>
      <c r="J32" s="420"/>
      <c r="K32" s="423">
        <f>TRUNC(100-((((H32/H33*100))*100)/100),2)</f>
        <v>88.68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8282345.0340000009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selection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605039</v>
      </c>
      <c r="D4" s="466">
        <v>142832</v>
      </c>
      <c r="E4" s="466"/>
      <c r="F4" s="466">
        <v>133455</v>
      </c>
      <c r="G4" s="466">
        <v>294726</v>
      </c>
      <c r="H4" s="466">
        <v>95367</v>
      </c>
      <c r="I4" s="466">
        <v>128551</v>
      </c>
      <c r="J4" s="467">
        <v>463</v>
      </c>
      <c r="K4" s="466">
        <v>51925</v>
      </c>
      <c r="L4" s="466">
        <v>105021</v>
      </c>
      <c r="M4" s="468"/>
      <c r="N4" s="469"/>
    </row>
    <row r="5" spans="1:14" x14ac:dyDescent="0.2">
      <c r="A5" s="463" t="s">
        <v>992</v>
      </c>
      <c r="B5" s="470">
        <v>120</v>
      </c>
      <c r="C5" s="465">
        <v>455063</v>
      </c>
      <c r="D5" s="466">
        <v>101125</v>
      </c>
      <c r="E5" s="466"/>
      <c r="F5" s="466"/>
      <c r="G5" s="466"/>
      <c r="H5" s="466"/>
      <c r="I5" s="466">
        <v>455063</v>
      </c>
      <c r="J5" s="467"/>
      <c r="K5" s="471"/>
      <c r="L5" s="472">
        <v>122445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6066</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1066168</v>
      </c>
      <c r="D13" s="1737">
        <f t="shared" ref="D13:L13" si="0">SUM(D4:D12)</f>
        <v>243957</v>
      </c>
      <c r="E13" s="1737">
        <f t="shared" si="0"/>
        <v>0</v>
      </c>
      <c r="F13" s="1737">
        <f t="shared" si="0"/>
        <v>133455</v>
      </c>
      <c r="G13" s="1737">
        <f t="shared" si="0"/>
        <v>294726</v>
      </c>
      <c r="H13" s="1737">
        <f t="shared" si="0"/>
        <v>95367</v>
      </c>
      <c r="I13" s="1737">
        <f t="shared" si="0"/>
        <v>583614</v>
      </c>
      <c r="J13" s="1737">
        <f t="shared" si="0"/>
        <v>463</v>
      </c>
      <c r="K13" s="1737">
        <f t="shared" si="0"/>
        <v>51925</v>
      </c>
      <c r="L13" s="1737">
        <f t="shared" si="0"/>
        <v>227466</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90712</v>
      </c>
      <c r="N16" s="484"/>
    </row>
    <row r="17" spans="1:14" s="485" customFormat="1" ht="12.75" customHeight="1" x14ac:dyDescent="0.2">
      <c r="A17" s="482" t="s">
        <v>1403</v>
      </c>
      <c r="B17" s="483">
        <v>230</v>
      </c>
      <c r="C17" s="477"/>
      <c r="D17" s="477"/>
      <c r="E17" s="477"/>
      <c r="F17" s="477"/>
      <c r="G17" s="477"/>
      <c r="H17" s="477"/>
      <c r="I17" s="477"/>
      <c r="J17" s="477"/>
      <c r="K17" s="477"/>
      <c r="L17" s="477"/>
      <c r="M17" s="467">
        <v>3697610</v>
      </c>
      <c r="N17" s="484"/>
    </row>
    <row r="18" spans="1:14" s="485" customFormat="1" ht="12.75" customHeight="1" x14ac:dyDescent="0.2">
      <c r="A18" s="482" t="s">
        <v>1404</v>
      </c>
      <c r="B18" s="483">
        <v>240</v>
      </c>
      <c r="C18" s="477"/>
      <c r="D18" s="477"/>
      <c r="E18" s="477"/>
      <c r="F18" s="477"/>
      <c r="G18" s="477"/>
      <c r="H18" s="477"/>
      <c r="I18" s="477"/>
      <c r="J18" s="477"/>
      <c r="K18" s="477"/>
      <c r="L18" s="477"/>
      <c r="M18" s="467">
        <v>160574</v>
      </c>
      <c r="N18" s="484"/>
    </row>
    <row r="19" spans="1:14" s="485" customFormat="1" ht="12.75" customHeight="1" x14ac:dyDescent="0.2">
      <c r="A19" s="482" t="s">
        <v>1405</v>
      </c>
      <c r="B19" s="483">
        <v>250</v>
      </c>
      <c r="C19" s="477"/>
      <c r="D19" s="477"/>
      <c r="E19" s="477"/>
      <c r="F19" s="477"/>
      <c r="G19" s="477"/>
      <c r="H19" s="477"/>
      <c r="I19" s="477"/>
      <c r="J19" s="477"/>
      <c r="K19" s="477"/>
      <c r="L19" s="477"/>
      <c r="M19" s="467">
        <v>2790012</v>
      </c>
      <c r="N19" s="484"/>
    </row>
    <row r="20" spans="1:14" s="485" customFormat="1" ht="12.75" customHeight="1" x14ac:dyDescent="0.2">
      <c r="A20" s="482" t="s">
        <v>1406</v>
      </c>
      <c r="B20" s="483">
        <v>260</v>
      </c>
      <c r="C20" s="477"/>
      <c r="D20" s="477"/>
      <c r="E20" s="477"/>
      <c r="F20" s="477"/>
      <c r="G20" s="477"/>
      <c r="H20" s="477"/>
      <c r="I20" s="477"/>
      <c r="J20" s="477"/>
      <c r="K20" s="477"/>
      <c r="L20" s="477"/>
      <c r="M20" s="467">
        <v>4750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937000</v>
      </c>
    </row>
    <row r="23" spans="1:14" ht="13.5" customHeight="1" thickBot="1" x14ac:dyDescent="0.25">
      <c r="A23" s="1736" t="s">
        <v>643</v>
      </c>
      <c r="B23" s="1741"/>
      <c r="C23" s="468"/>
      <c r="D23" s="468"/>
      <c r="E23" s="468"/>
      <c r="F23" s="468"/>
      <c r="G23" s="468"/>
      <c r="H23" s="468"/>
      <c r="I23" s="468"/>
      <c r="J23" s="468"/>
      <c r="K23" s="468"/>
      <c r="L23" s="468"/>
      <c r="M23" s="1688">
        <f>SUM(M15:M22)</f>
        <v>6743658</v>
      </c>
      <c r="N23" s="1688">
        <f>SUM(N21:N22)</f>
        <v>937000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v>6066</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448</v>
      </c>
      <c r="D32" s="492">
        <v>89</v>
      </c>
      <c r="E32" s="474">
        <v>26</v>
      </c>
      <c r="F32" s="474">
        <v>41</v>
      </c>
      <c r="G32" s="474">
        <v>39</v>
      </c>
      <c r="H32" s="474"/>
      <c r="I32" s="474">
        <v>6</v>
      </c>
      <c r="J32" s="474">
        <v>19</v>
      </c>
      <c r="K32" s="479">
        <v>7</v>
      </c>
      <c r="L32" s="468"/>
      <c r="M32" s="468"/>
      <c r="N32" s="468"/>
    </row>
    <row r="33" spans="1:14" ht="13.5" customHeight="1" x14ac:dyDescent="0.2">
      <c r="A33" s="493" t="s">
        <v>303</v>
      </c>
      <c r="B33" s="491">
        <v>493</v>
      </c>
      <c r="C33" s="467"/>
      <c r="D33" s="467"/>
      <c r="E33" s="467"/>
      <c r="F33" s="467"/>
      <c r="G33" s="467"/>
      <c r="H33" s="467"/>
      <c r="I33" s="467"/>
      <c r="J33" s="467"/>
      <c r="K33" s="467"/>
      <c r="L33" s="467">
        <v>227466</v>
      </c>
      <c r="M33" s="468"/>
      <c r="N33" s="469"/>
    </row>
    <row r="34" spans="1:14" ht="13.5" customHeight="1" thickBot="1" x14ac:dyDescent="0.25">
      <c r="A34" s="1738" t="s">
        <v>654</v>
      </c>
      <c r="B34" s="1739"/>
      <c r="C34" s="1740">
        <f>SUM(C25:C33)</f>
        <v>448</v>
      </c>
      <c r="D34" s="1740">
        <f t="shared" ref="D34:K34" si="1">SUM(D25:D33)</f>
        <v>89</v>
      </c>
      <c r="E34" s="1740">
        <f t="shared" si="1"/>
        <v>6092</v>
      </c>
      <c r="F34" s="1740">
        <f t="shared" si="1"/>
        <v>41</v>
      </c>
      <c r="G34" s="1740">
        <f t="shared" si="1"/>
        <v>39</v>
      </c>
      <c r="H34" s="1740">
        <f t="shared" si="1"/>
        <v>0</v>
      </c>
      <c r="I34" s="1740">
        <f t="shared" si="1"/>
        <v>6</v>
      </c>
      <c r="J34" s="1740">
        <f t="shared" si="1"/>
        <v>19</v>
      </c>
      <c r="K34" s="1740">
        <f t="shared" si="1"/>
        <v>7</v>
      </c>
      <c r="L34" s="1721">
        <f>SUM(L33)</f>
        <v>227466</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937000</v>
      </c>
    </row>
    <row r="37" spans="1:14" ht="13.5" thickBot="1" x14ac:dyDescent="0.25">
      <c r="A37" s="1736" t="s">
        <v>653</v>
      </c>
      <c r="B37" s="1741"/>
      <c r="C37" s="477"/>
      <c r="D37" s="477"/>
      <c r="E37" s="477"/>
      <c r="F37" s="477"/>
      <c r="G37" s="477"/>
      <c r="H37" s="477"/>
      <c r="I37" s="477"/>
      <c r="J37" s="477"/>
      <c r="K37" s="477"/>
      <c r="L37" s="480"/>
      <c r="M37" s="468"/>
      <c r="N37" s="1688">
        <f>SUM(N36:N36)</f>
        <v>937000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1065720</v>
      </c>
      <c r="D39" s="466">
        <v>243868</v>
      </c>
      <c r="E39" s="466">
        <v>-6092</v>
      </c>
      <c r="F39" s="466">
        <v>133414</v>
      </c>
      <c r="G39" s="466">
        <v>294687</v>
      </c>
      <c r="H39" s="466">
        <v>95367</v>
      </c>
      <c r="I39" s="466">
        <v>583608</v>
      </c>
      <c r="J39" s="467">
        <v>444</v>
      </c>
      <c r="K39" s="466">
        <v>51918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6743658</v>
      </c>
      <c r="N40" s="497"/>
    </row>
    <row r="41" spans="1:14" ht="13.5" customHeight="1" thickBot="1" x14ac:dyDescent="0.25">
      <c r="A41" s="1736" t="s">
        <v>655</v>
      </c>
      <c r="B41" s="1706"/>
      <c r="C41" s="1688">
        <f>(SUM(C34,C37,C38,C39))</f>
        <v>1066168</v>
      </c>
      <c r="D41" s="1688">
        <f t="shared" ref="D41:L41" si="2">SUM(D34,D37,D38:D39)</f>
        <v>243957</v>
      </c>
      <c r="E41" s="1688">
        <f t="shared" si="2"/>
        <v>0</v>
      </c>
      <c r="F41" s="1688">
        <f t="shared" si="2"/>
        <v>133455</v>
      </c>
      <c r="G41" s="1688">
        <f t="shared" si="2"/>
        <v>294726</v>
      </c>
      <c r="H41" s="1688">
        <f t="shared" si="2"/>
        <v>95367</v>
      </c>
      <c r="I41" s="1688">
        <f t="shared" si="2"/>
        <v>583614</v>
      </c>
      <c r="J41" s="1688">
        <f t="shared" si="2"/>
        <v>463</v>
      </c>
      <c r="K41" s="1688">
        <f t="shared" si="2"/>
        <v>51925</v>
      </c>
      <c r="L41" s="1688">
        <f t="shared" si="2"/>
        <v>227466</v>
      </c>
      <c r="M41" s="1688">
        <f>SUM(M40)</f>
        <v>6743658</v>
      </c>
      <c r="N41" s="1688">
        <f>SUM(N37)</f>
        <v>937000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OddEven="1"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Page &amp;P</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2137935</v>
      </c>
      <c r="D4" s="1742">
        <f>'Revenues 9-14'!D109</f>
        <v>361101</v>
      </c>
      <c r="E4" s="1742">
        <f>'Revenues 9-14'!E109</f>
        <v>110135</v>
      </c>
      <c r="F4" s="1742">
        <f>'Revenues 9-14'!F109</f>
        <v>160588</v>
      </c>
      <c r="G4" s="1742">
        <f>'Revenues 9-14'!G109</f>
        <v>159991</v>
      </c>
      <c r="H4" s="1742">
        <f>'Revenues 9-14'!H109</f>
        <v>148656</v>
      </c>
      <c r="I4" s="1742">
        <f>'Revenues 9-14'!I109</f>
        <v>35430</v>
      </c>
      <c r="J4" s="1742">
        <f>'Revenues 9-14'!J109</f>
        <v>115210</v>
      </c>
      <c r="K4" s="1742">
        <f>'Revenues 9-14'!K109</f>
        <v>28271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1517479</v>
      </c>
      <c r="D6" s="1743">
        <f>'Revenues 9-14'!D170</f>
        <v>6919</v>
      </c>
      <c r="E6" s="1743">
        <f>'Revenues 9-14'!E170</f>
        <v>0</v>
      </c>
      <c r="F6" s="1743">
        <f>'Revenues 9-14'!F170</f>
        <v>108978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268928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3924342</v>
      </c>
      <c r="D8" s="1688">
        <f t="shared" ref="D8:K8" si="0">SUM(D4:D7)</f>
        <v>368020</v>
      </c>
      <c r="E8" s="1688">
        <f t="shared" si="0"/>
        <v>110135</v>
      </c>
      <c r="F8" s="1688">
        <f t="shared" si="0"/>
        <v>269566</v>
      </c>
      <c r="G8" s="1688">
        <f t="shared" si="0"/>
        <v>159991</v>
      </c>
      <c r="H8" s="1688">
        <f t="shared" si="0"/>
        <v>148656</v>
      </c>
      <c r="I8" s="1688">
        <f t="shared" si="0"/>
        <v>35430</v>
      </c>
      <c r="J8" s="1688">
        <f t="shared" si="0"/>
        <v>115210</v>
      </c>
      <c r="K8" s="1688">
        <f t="shared" si="0"/>
        <v>28271</v>
      </c>
      <c r="L8" s="347"/>
    </row>
    <row r="9" spans="1:13" ht="15.75" thickTop="1" x14ac:dyDescent="0.2">
      <c r="A9" s="514" t="s">
        <v>1653</v>
      </c>
      <c r="B9" s="515">
        <v>3998</v>
      </c>
      <c r="C9" s="481">
        <v>1666737</v>
      </c>
      <c r="D9" s="516"/>
      <c r="E9" s="481"/>
      <c r="F9" s="481"/>
      <c r="G9" s="517"/>
      <c r="H9" s="481"/>
      <c r="I9" s="509" t="s">
        <v>1169</v>
      </c>
      <c r="J9" s="478"/>
      <c r="K9" s="481"/>
      <c r="L9" s="347"/>
    </row>
    <row r="10" spans="1:13" s="519" customFormat="1" ht="13.5" thickBot="1" x14ac:dyDescent="0.25">
      <c r="A10" s="1736" t="s">
        <v>1173</v>
      </c>
      <c r="B10" s="1709"/>
      <c r="C10" s="1688">
        <f>SUM(C8:C9)</f>
        <v>5591079</v>
      </c>
      <c r="D10" s="1688">
        <f t="shared" ref="D10:K10" si="1">SUM(D8:D9)</f>
        <v>368020</v>
      </c>
      <c r="E10" s="1688">
        <f t="shared" si="1"/>
        <v>110135</v>
      </c>
      <c r="F10" s="1688">
        <f t="shared" si="1"/>
        <v>269566</v>
      </c>
      <c r="G10" s="1688">
        <f t="shared" si="1"/>
        <v>159991</v>
      </c>
      <c r="H10" s="1688">
        <f t="shared" si="1"/>
        <v>148656</v>
      </c>
      <c r="I10" s="1688">
        <f t="shared" si="1"/>
        <v>35430</v>
      </c>
      <c r="J10" s="1688">
        <f t="shared" si="1"/>
        <v>115210</v>
      </c>
      <c r="K10" s="1688">
        <f t="shared" si="1"/>
        <v>28271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2712701</v>
      </c>
      <c r="D12" s="520" t="s">
        <v>1169</v>
      </c>
      <c r="E12" s="468" t="s">
        <v>1169</v>
      </c>
      <c r="F12" s="468" t="s">
        <v>1169</v>
      </c>
      <c r="G12" s="1742">
        <f>'Expenditures 15-22'!K229</f>
        <v>53444</v>
      </c>
      <c r="H12" s="521"/>
      <c r="I12" s="468" t="s">
        <v>1169</v>
      </c>
      <c r="J12" s="468" t="s">
        <v>1169</v>
      </c>
      <c r="K12" s="521" t="s">
        <v>1169</v>
      </c>
      <c r="L12" s="347"/>
    </row>
    <row r="13" spans="1:13" ht="15.75" customHeight="1" x14ac:dyDescent="0.2">
      <c r="A13" s="1576" t="s">
        <v>457</v>
      </c>
      <c r="B13" s="1578">
        <v>2000</v>
      </c>
      <c r="C13" s="1743">
        <f>'Expenditures 15-22'!K74</f>
        <v>869077</v>
      </c>
      <c r="D13" s="1743">
        <f>'Expenditures 15-22'!K129</f>
        <v>318736</v>
      </c>
      <c r="E13" s="469" t="s">
        <v>1169</v>
      </c>
      <c r="F13" s="1743">
        <f>'Expenditures 15-22'!K184</f>
        <v>286980</v>
      </c>
      <c r="G13" s="1743">
        <f>'Expenditures 15-22'!K279</f>
        <v>95639</v>
      </c>
      <c r="H13" s="1743">
        <f>'Expenditures 15-22'!K303</f>
        <v>173454</v>
      </c>
      <c r="I13" s="468" t="s">
        <v>1169</v>
      </c>
      <c r="J13" s="1743">
        <f>'Expenditures 15-22'!K330</f>
        <v>120383</v>
      </c>
      <c r="K13" s="1747">
        <f>'Expenditures 15-22'!K352</f>
        <v>8983</v>
      </c>
      <c r="L13" s="347"/>
    </row>
    <row r="14" spans="1:13" ht="15.75" customHeight="1" x14ac:dyDescent="0.2">
      <c r="A14" s="1576" t="s">
        <v>449</v>
      </c>
      <c r="B14" s="1578">
        <v>3000</v>
      </c>
      <c r="C14" s="1743">
        <f>'Expenditures 15-22'!K75</f>
        <v>17950</v>
      </c>
      <c r="D14" s="1743">
        <f>'Expenditures 15-22'!K130</f>
        <v>0</v>
      </c>
      <c r="E14" s="520" t="s">
        <v>1169</v>
      </c>
      <c r="F14" s="1743">
        <f>'Expenditures 15-22'!K185</f>
        <v>0</v>
      </c>
      <c r="G14" s="1743">
        <f>'Expenditures 15-22'!K280</f>
        <v>1970</v>
      </c>
      <c r="H14" s="512"/>
      <c r="I14" s="468" t="s">
        <v>1169</v>
      </c>
      <c r="J14" s="468" t="s">
        <v>1169</v>
      </c>
      <c r="K14" s="512" t="s">
        <v>1169</v>
      </c>
      <c r="L14" s="347"/>
    </row>
    <row r="15" spans="1:13" ht="15.75" customHeight="1" x14ac:dyDescent="0.2">
      <c r="A15" s="1576" t="s">
        <v>107</v>
      </c>
      <c r="B15" s="1578">
        <v>4000</v>
      </c>
      <c r="C15" s="1743">
        <f>'Expenditures 15-22'!K102</f>
        <v>86446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181137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3686174</v>
      </c>
      <c r="D17" s="1688">
        <f t="shared" si="2"/>
        <v>318736</v>
      </c>
      <c r="E17" s="1688">
        <f t="shared" si="2"/>
        <v>181137</v>
      </c>
      <c r="F17" s="1688">
        <f t="shared" si="2"/>
        <v>286980</v>
      </c>
      <c r="G17" s="1688">
        <f t="shared" si="2"/>
        <v>151053</v>
      </c>
      <c r="H17" s="1688">
        <f t="shared" si="2"/>
        <v>173454</v>
      </c>
      <c r="I17" s="468"/>
      <c r="J17" s="1688">
        <f>SUM(J12:J16)</f>
        <v>120383</v>
      </c>
      <c r="K17" s="1688">
        <f>SUM(K12:K16)</f>
        <v>8983</v>
      </c>
      <c r="L17" s="347"/>
    </row>
    <row r="18" spans="1:12" ht="15" customHeight="1" thickTop="1" x14ac:dyDescent="0.2">
      <c r="A18" s="1744" t="s">
        <v>1654</v>
      </c>
      <c r="B18" s="1745">
        <v>4180</v>
      </c>
      <c r="C18" s="1742">
        <f t="shared" ref="C18:H18" si="3">C9</f>
        <v>1666737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5352911</v>
      </c>
      <c r="D19" s="1688">
        <f t="shared" si="4"/>
        <v>318736</v>
      </c>
      <c r="E19" s="1688">
        <f t="shared" si="4"/>
        <v>181137</v>
      </c>
      <c r="F19" s="1688">
        <f t="shared" si="4"/>
        <v>286980</v>
      </c>
      <c r="G19" s="1688">
        <f t="shared" si="4"/>
        <v>151053</v>
      </c>
      <c r="H19" s="1688">
        <f t="shared" si="4"/>
        <v>173454</v>
      </c>
      <c r="I19" s="468"/>
      <c r="J19" s="1688">
        <f>SUM(J17:J18)</f>
        <v>120383</v>
      </c>
      <c r="K19" s="1688">
        <f>SUM(K17:K18)</f>
        <v>8983</v>
      </c>
      <c r="L19" s="347"/>
    </row>
    <row r="20" spans="1:12" ht="16.5" thickTop="1" thickBot="1" x14ac:dyDescent="0.25">
      <c r="A20" s="2125" t="s">
        <v>1655</v>
      </c>
      <c r="B20" s="2126"/>
      <c r="C20" s="1746">
        <f>C8-C17</f>
        <v>238168</v>
      </c>
      <c r="D20" s="1746">
        <f t="shared" ref="D20:K20" si="5">D8-D17</f>
        <v>49284</v>
      </c>
      <c r="E20" s="1746">
        <f t="shared" si="5"/>
        <v>-71002</v>
      </c>
      <c r="F20" s="1746">
        <f t="shared" si="5"/>
        <v>-17414</v>
      </c>
      <c r="G20" s="1746">
        <f t="shared" si="5"/>
        <v>8938</v>
      </c>
      <c r="H20" s="1746">
        <f t="shared" si="5"/>
        <v>-24798</v>
      </c>
      <c r="I20" s="1746">
        <f t="shared" si="5"/>
        <v>35430</v>
      </c>
      <c r="J20" s="1746">
        <f t="shared" si="5"/>
        <v>-5173</v>
      </c>
      <c r="K20" s="1746">
        <f t="shared" si="5"/>
        <v>19288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70912</v>
      </c>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70912</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70912</v>
      </c>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70912</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70912</v>
      </c>
      <c r="F77" s="1703">
        <f t="shared" si="8"/>
        <v>0</v>
      </c>
      <c r="G77" s="1703">
        <f t="shared" si="8"/>
        <v>0</v>
      </c>
      <c r="H77" s="1703">
        <f t="shared" si="8"/>
        <v>-70912</v>
      </c>
      <c r="I77" s="1703">
        <f t="shared" si="8"/>
        <v>0</v>
      </c>
      <c r="J77" s="1703">
        <f t="shared" si="8"/>
        <v>0</v>
      </c>
      <c r="K77" s="1703">
        <f t="shared" si="8"/>
        <v>0</v>
      </c>
      <c r="L77" s="347"/>
    </row>
    <row r="78" spans="1:12" ht="21.75" customHeight="1" thickTop="1" thickBot="1" x14ac:dyDescent="0.25">
      <c r="A78" s="2121" t="s">
        <v>597</v>
      </c>
      <c r="B78" s="2122"/>
      <c r="C78" s="1702">
        <f t="shared" ref="C78:K78" si="9">C20+C77</f>
        <v>238168</v>
      </c>
      <c r="D78" s="1702">
        <f t="shared" si="9"/>
        <v>49284</v>
      </c>
      <c r="E78" s="1702">
        <f t="shared" si="9"/>
        <v>-90</v>
      </c>
      <c r="F78" s="1702">
        <f t="shared" si="9"/>
        <v>-17414</v>
      </c>
      <c r="G78" s="1702">
        <f t="shared" si="9"/>
        <v>8938</v>
      </c>
      <c r="H78" s="1702">
        <f t="shared" si="9"/>
        <v>-95710</v>
      </c>
      <c r="I78" s="1702">
        <f t="shared" si="9"/>
        <v>35430</v>
      </c>
      <c r="J78" s="1702">
        <f t="shared" si="9"/>
        <v>-5173</v>
      </c>
      <c r="K78" s="1702">
        <f t="shared" si="9"/>
        <v>19288</v>
      </c>
      <c r="L78" s="533"/>
    </row>
    <row r="79" spans="1:12" ht="13.5" thickTop="1" x14ac:dyDescent="0.2">
      <c r="A79" s="1494" t="s">
        <v>1949</v>
      </c>
      <c r="B79" s="534"/>
      <c r="C79" s="478">
        <v>827552</v>
      </c>
      <c r="D79" s="535">
        <v>194584</v>
      </c>
      <c r="E79" s="535">
        <v>-6002</v>
      </c>
      <c r="F79" s="535">
        <v>150828</v>
      </c>
      <c r="G79" s="535">
        <v>285749</v>
      </c>
      <c r="H79" s="535">
        <v>191077</v>
      </c>
      <c r="I79" s="535">
        <v>548178</v>
      </c>
      <c r="J79" s="535">
        <v>5617</v>
      </c>
      <c r="K79" s="535">
        <v>32630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1065720</v>
      </c>
      <c r="D81" s="1688">
        <f>SUM(D78:D80)</f>
        <v>243868</v>
      </c>
      <c r="E81" s="1688">
        <f t="shared" ref="E81:K81" si="10">SUM(E78:E80)</f>
        <v>-6092</v>
      </c>
      <c r="F81" s="1688">
        <f t="shared" si="10"/>
        <v>133414</v>
      </c>
      <c r="G81" s="1688">
        <f t="shared" si="10"/>
        <v>294687</v>
      </c>
      <c r="H81" s="1688">
        <f t="shared" si="10"/>
        <v>95367</v>
      </c>
      <c r="I81" s="1688">
        <f t="shared" si="10"/>
        <v>583608</v>
      </c>
      <c r="J81" s="1688">
        <f t="shared" si="10"/>
        <v>444</v>
      </c>
      <c r="K81" s="1688">
        <f t="shared" si="10"/>
        <v>51918</v>
      </c>
      <c r="L81" s="347"/>
    </row>
    <row r="82" spans="1:12" ht="0.75" customHeight="1" thickTop="1" thickBot="1" x14ac:dyDescent="0.25">
      <c r="A82" s="536" t="s">
        <v>343</v>
      </c>
      <c r="B82" s="537"/>
      <c r="C82" s="538">
        <f>(C81-C79)</f>
        <v>238168</v>
      </c>
      <c r="D82" s="538">
        <f t="shared" ref="D82:K82" si="11">(D81-D79)</f>
        <v>49284</v>
      </c>
      <c r="E82" s="538">
        <f t="shared" si="11"/>
        <v>-90</v>
      </c>
      <c r="F82" s="538">
        <f t="shared" si="11"/>
        <v>-17414</v>
      </c>
      <c r="G82" s="538">
        <f t="shared" si="11"/>
        <v>8938</v>
      </c>
      <c r="H82" s="538">
        <f t="shared" si="11"/>
        <v>-95710</v>
      </c>
      <c r="I82" s="538">
        <f t="shared" si="11"/>
        <v>35430</v>
      </c>
      <c r="J82" s="538">
        <f t="shared" si="11"/>
        <v>-5173</v>
      </c>
      <c r="K82" s="538">
        <f t="shared" si="11"/>
        <v>19288</v>
      </c>
    </row>
    <row r="83" spans="1:12" ht="14.25" hidden="1" thickTop="1" thickBot="1" x14ac:dyDescent="0.25">
      <c r="A83" s="539" t="s">
        <v>344</v>
      </c>
      <c r="B83" s="464"/>
      <c r="C83" s="540">
        <f>C82/C81</f>
        <v>0.22348083924482978</v>
      </c>
      <c r="D83" s="540">
        <f t="shared" ref="D83:K83" si="12">D82/D81</f>
        <v>0.20209293552249577</v>
      </c>
      <c r="E83" s="540">
        <f t="shared" si="12"/>
        <v>1.4773473407747865E-2</v>
      </c>
      <c r="F83" s="540">
        <f t="shared" si="12"/>
        <v>-0.13052603175079078</v>
      </c>
      <c r="G83" s="540">
        <f t="shared" si="12"/>
        <v>3.0330486244727457E-2</v>
      </c>
      <c r="H83" s="540">
        <f t="shared" si="12"/>
        <v>-1.003596631958644</v>
      </c>
      <c r="I83" s="540">
        <f t="shared" si="12"/>
        <v>6.0708557799070612E-2</v>
      </c>
      <c r="J83" s="540">
        <f t="shared" si="12"/>
        <v>-11.650900900900901</v>
      </c>
      <c r="K83" s="540">
        <f t="shared" si="12"/>
        <v>0.37150891790901036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3" activePane="bottomLeft" state="frozen"/>
      <selection activeCell="A4" sqref="A4:F4"/>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1802822</v>
      </c>
      <c r="D5" s="481">
        <v>348401</v>
      </c>
      <c r="E5" s="466">
        <v>110028</v>
      </c>
      <c r="F5" s="548">
        <v>159428</v>
      </c>
      <c r="G5" s="466">
        <v>76873</v>
      </c>
      <c r="H5" s="466"/>
      <c r="I5" s="466">
        <v>27691</v>
      </c>
      <c r="J5" s="467">
        <v>114909</v>
      </c>
      <c r="K5" s="466">
        <v>28064</v>
      </c>
    </row>
    <row r="6" spans="1:12" ht="15" x14ac:dyDescent="0.2">
      <c r="A6" s="463" t="s">
        <v>1662</v>
      </c>
      <c r="B6" s="470">
        <v>1130</v>
      </c>
      <c r="C6" s="466">
        <v>28042</v>
      </c>
      <c r="D6" s="466"/>
      <c r="E6" s="475"/>
      <c r="F6" s="475"/>
      <c r="G6" s="468"/>
      <c r="H6" s="468"/>
      <c r="I6" s="468"/>
      <c r="J6" s="468"/>
      <c r="K6" s="468"/>
    </row>
    <row r="7" spans="1:12" x14ac:dyDescent="0.2">
      <c r="A7" s="463" t="s">
        <v>110</v>
      </c>
      <c r="B7" s="549">
        <v>1140</v>
      </c>
      <c r="C7" s="466">
        <v>22453</v>
      </c>
      <c r="D7" s="466"/>
      <c r="E7" s="468"/>
      <c r="F7" s="467"/>
      <c r="G7" s="467"/>
      <c r="H7" s="467"/>
      <c r="I7" s="468"/>
      <c r="J7" s="468"/>
      <c r="K7" s="468"/>
    </row>
    <row r="8" spans="1:12" x14ac:dyDescent="0.2">
      <c r="A8" s="463" t="s">
        <v>413</v>
      </c>
      <c r="B8" s="470">
        <v>1150</v>
      </c>
      <c r="C8" s="475"/>
      <c r="D8" s="475"/>
      <c r="E8" s="477"/>
      <c r="F8" s="477"/>
      <c r="G8" s="481">
        <v>76873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1853317</v>
      </c>
      <c r="D12" s="1707">
        <f t="shared" si="0"/>
        <v>348401</v>
      </c>
      <c r="E12" s="1707">
        <f t="shared" si="0"/>
        <v>110028</v>
      </c>
      <c r="F12" s="1707">
        <f t="shared" si="0"/>
        <v>159428</v>
      </c>
      <c r="G12" s="1707">
        <f t="shared" si="0"/>
        <v>153746</v>
      </c>
      <c r="H12" s="1707">
        <f t="shared" si="0"/>
        <v>0</v>
      </c>
      <c r="I12" s="1707">
        <f t="shared" si="0"/>
        <v>27691</v>
      </c>
      <c r="J12" s="1707">
        <f t="shared" si="0"/>
        <v>114909</v>
      </c>
      <c r="K12" s="1688">
        <f t="shared" si="0"/>
        <v>28064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47909</v>
      </c>
      <c r="D16" s="466"/>
      <c r="E16" s="466"/>
      <c r="F16" s="466"/>
      <c r="G16" s="466">
        <v>4698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47909</v>
      </c>
      <c r="D18" s="1710">
        <f t="shared" ref="D18:K18" si="1">SUM(D14:D17)</f>
        <v>0</v>
      </c>
      <c r="E18" s="1710">
        <f t="shared" si="1"/>
        <v>0</v>
      </c>
      <c r="F18" s="1710">
        <f t="shared" si="1"/>
        <v>0</v>
      </c>
      <c r="G18" s="1710">
        <f t="shared" si="1"/>
        <v>4698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9748</v>
      </c>
      <c r="D65" s="466">
        <v>2370</v>
      </c>
      <c r="E65" s="466">
        <v>107</v>
      </c>
      <c r="F65" s="467">
        <v>651</v>
      </c>
      <c r="G65" s="466">
        <v>1547</v>
      </c>
      <c r="H65" s="466">
        <v>823</v>
      </c>
      <c r="I65" s="466">
        <v>7739</v>
      </c>
      <c r="J65" s="467">
        <v>301</v>
      </c>
      <c r="K65" s="466">
        <v>207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9748</v>
      </c>
      <c r="D67" s="1688">
        <f t="shared" ref="D67:K67" si="2">SUM(D65:D66)</f>
        <v>2370</v>
      </c>
      <c r="E67" s="1688">
        <f t="shared" si="2"/>
        <v>107</v>
      </c>
      <c r="F67" s="1688">
        <f t="shared" si="2"/>
        <v>651</v>
      </c>
      <c r="G67" s="1688">
        <f t="shared" si="2"/>
        <v>1547</v>
      </c>
      <c r="H67" s="1688">
        <f t="shared" si="2"/>
        <v>823</v>
      </c>
      <c r="I67" s="1688">
        <f t="shared" si="2"/>
        <v>7739</v>
      </c>
      <c r="J67" s="1688">
        <f t="shared" si="2"/>
        <v>301</v>
      </c>
      <c r="K67" s="1688">
        <f t="shared" si="2"/>
        <v>207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42654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7918</v>
      </c>
      <c r="D73" s="468"/>
      <c r="E73" s="468"/>
      <c r="F73" s="468"/>
      <c r="G73" s="468"/>
      <c r="H73" s="468"/>
      <c r="I73" s="468"/>
      <c r="J73" s="468"/>
      <c r="K73" s="468"/>
    </row>
    <row r="74" spans="1:11" ht="12.75" customHeight="1" x14ac:dyDescent="0.2">
      <c r="A74" s="463" t="s">
        <v>25</v>
      </c>
      <c r="B74" s="470">
        <v>1690</v>
      </c>
      <c r="C74" s="551">
        <v>1649</v>
      </c>
      <c r="D74" s="468"/>
      <c r="E74" s="468"/>
      <c r="F74" s="468"/>
      <c r="G74" s="468"/>
      <c r="H74" s="468"/>
      <c r="I74" s="468"/>
      <c r="J74" s="468"/>
      <c r="K74" s="468"/>
    </row>
    <row r="75" spans="1:11" ht="12.75" customHeight="1" thickBot="1" x14ac:dyDescent="0.25">
      <c r="A75" s="1708" t="s">
        <v>548</v>
      </c>
      <c r="B75" s="1709"/>
      <c r="C75" s="1688">
        <f>SUM(C69:C74)</f>
        <v>52221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33259</v>
      </c>
      <c r="D77" s="466"/>
      <c r="E77" s="468"/>
      <c r="F77" s="468"/>
      <c r="G77" s="468"/>
      <c r="H77" s="468"/>
      <c r="I77" s="468"/>
      <c r="J77" s="468"/>
      <c r="K77" s="468"/>
    </row>
    <row r="78" spans="1:11" ht="12.75" customHeight="1" x14ac:dyDescent="0.2">
      <c r="A78" s="463" t="s">
        <v>76</v>
      </c>
      <c r="B78" s="470">
        <v>1719</v>
      </c>
      <c r="C78" s="551">
        <v>536</v>
      </c>
      <c r="D78" s="466"/>
      <c r="E78" s="468"/>
      <c r="F78" s="468"/>
      <c r="G78" s="468"/>
      <c r="H78" s="468"/>
      <c r="I78" s="468"/>
      <c r="J78" s="468"/>
      <c r="K78" s="468"/>
    </row>
    <row r="79" spans="1:11" ht="12.75" customHeight="1" x14ac:dyDescent="0.2">
      <c r="A79" s="463" t="s">
        <v>550</v>
      </c>
      <c r="B79" s="470">
        <v>1720</v>
      </c>
      <c r="C79" s="551">
        <v>7500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41295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16342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4929</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21271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6600</v>
      </c>
      <c r="E95" s="521"/>
      <c r="F95" s="521"/>
      <c r="G95" s="521"/>
      <c r="H95" s="521"/>
      <c r="I95" s="521"/>
      <c r="J95" s="521"/>
      <c r="K95" s="521"/>
    </row>
    <row r="96" spans="1:11" ht="12.75" customHeight="1" x14ac:dyDescent="0.2">
      <c r="A96" s="463" t="s">
        <v>391</v>
      </c>
      <c r="B96" s="470">
        <v>1920</v>
      </c>
      <c r="C96" s="551">
        <v>4512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36697</v>
      </c>
      <c r="D98" s="466"/>
      <c r="E98" s="512"/>
      <c r="F98" s="466"/>
      <c r="G98" s="512"/>
      <c r="H98" s="512"/>
      <c r="I98" s="510"/>
      <c r="J98" s="512"/>
      <c r="K98" s="512"/>
    </row>
    <row r="99" spans="1:12" ht="12.75" customHeight="1" x14ac:dyDescent="0.2">
      <c r="A99" s="463" t="s">
        <v>821</v>
      </c>
      <c r="B99" s="470">
        <v>1950</v>
      </c>
      <c r="C99" s="489">
        <v>10747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1250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147833</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1300</v>
      </c>
      <c r="E106" s="467"/>
      <c r="F106" s="467"/>
      <c r="G106" s="467"/>
      <c r="H106" s="467"/>
      <c r="I106" s="521"/>
      <c r="J106" s="467"/>
      <c r="K106" s="467"/>
    </row>
    <row r="107" spans="1:12" ht="12.75" customHeight="1" x14ac:dyDescent="0.2">
      <c r="A107" s="463" t="s">
        <v>78</v>
      </c>
      <c r="B107" s="470">
        <v>1999</v>
      </c>
      <c r="C107" s="551">
        <v>58968</v>
      </c>
      <c r="D107" s="466">
        <v>2430</v>
      </c>
      <c r="E107" s="466"/>
      <c r="F107" s="466">
        <v>509</v>
      </c>
      <c r="G107" s="466"/>
      <c r="H107" s="466"/>
      <c r="I107" s="466"/>
      <c r="J107" s="467"/>
      <c r="K107" s="466"/>
    </row>
    <row r="108" spans="1:12" ht="12.75" customHeight="1" thickBot="1" x14ac:dyDescent="0.25">
      <c r="A108" s="1708" t="s">
        <v>487</v>
      </c>
      <c r="B108" s="1712"/>
      <c r="C108" s="1707">
        <f>SUM(C95:C107)</f>
        <v>112174</v>
      </c>
      <c r="D108" s="1707">
        <f t="shared" ref="D108:K108" si="3">SUM(D95:D107)</f>
        <v>10330</v>
      </c>
      <c r="E108" s="1707">
        <f t="shared" si="3"/>
        <v>0</v>
      </c>
      <c r="F108" s="1707">
        <f t="shared" si="3"/>
        <v>509</v>
      </c>
      <c r="G108" s="1707">
        <f t="shared" si="3"/>
        <v>0</v>
      </c>
      <c r="H108" s="1707">
        <f t="shared" si="3"/>
        <v>147833</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2137935</v>
      </c>
      <c r="D109" s="1715">
        <f t="shared" si="4"/>
        <v>361101</v>
      </c>
      <c r="E109" s="1715">
        <f t="shared" si="4"/>
        <v>110135</v>
      </c>
      <c r="F109" s="1715">
        <f t="shared" si="4"/>
        <v>160588</v>
      </c>
      <c r="G109" s="1715">
        <f t="shared" si="4"/>
        <v>159991</v>
      </c>
      <c r="H109" s="1715">
        <f t="shared" si="4"/>
        <v>148656</v>
      </c>
      <c r="I109" s="1715">
        <f t="shared" si="4"/>
        <v>35430</v>
      </c>
      <c r="J109" s="1715">
        <f t="shared" si="4"/>
        <v>115210</v>
      </c>
      <c r="K109" s="1702">
        <f t="shared" si="4"/>
        <v>28271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1287840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1287840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13836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13836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19667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26962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46629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1595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5702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68411</v>
      </c>
      <c r="G152" s="467"/>
      <c r="H152" s="468"/>
      <c r="I152" s="468"/>
      <c r="J152" s="468"/>
      <c r="K152" s="468"/>
    </row>
    <row r="153" spans="1:11" ht="12.75" customHeight="1" x14ac:dyDescent="0.2">
      <c r="A153" s="463" t="s">
        <v>1057</v>
      </c>
      <c r="B153" s="562">
        <v>3510</v>
      </c>
      <c r="C153" s="551"/>
      <c r="D153" s="466"/>
      <c r="E153" s="561"/>
      <c r="F153" s="466">
        <v>40567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108978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160390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1487</v>
      </c>
      <c r="D168" s="580">
        <v>6919</v>
      </c>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229639</v>
      </c>
      <c r="D169" s="1722">
        <f t="shared" si="6"/>
        <v>6919</v>
      </c>
      <c r="E169" s="1722">
        <f t="shared" si="6"/>
        <v>0</v>
      </c>
      <c r="F169" s="1722">
        <f t="shared" si="6"/>
        <v>108978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1517479</v>
      </c>
      <c r="D170" s="1715">
        <f t="shared" si="7"/>
        <v>6919</v>
      </c>
      <c r="E170" s="1715">
        <f t="shared" si="7"/>
        <v>0</v>
      </c>
      <c r="F170" s="1715">
        <f t="shared" si="7"/>
        <v>108978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69978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22380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92358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70979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70979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4026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4026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10246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4737</v>
      </c>
      <c r="D263" s="576"/>
      <c r="E263" s="468"/>
      <c r="F263" s="576"/>
      <c r="G263" s="576"/>
      <c r="H263" s="468"/>
      <c r="I263" s="468"/>
      <c r="J263" s="468"/>
      <c r="K263" s="468"/>
    </row>
    <row r="264" spans="1:11" ht="12.75" customHeight="1" thickTop="1" thickBot="1" x14ac:dyDescent="0.25">
      <c r="A264" s="463" t="s">
        <v>377</v>
      </c>
      <c r="B264" s="470">
        <v>4992</v>
      </c>
      <c r="C264" s="575">
        <v>61488</v>
      </c>
      <c r="D264" s="576"/>
      <c r="E264" s="468"/>
      <c r="F264" s="576"/>
      <c r="G264" s="576"/>
      <c r="H264" s="468"/>
      <c r="I264" s="468"/>
      <c r="J264" s="468"/>
      <c r="K264" s="468"/>
    </row>
    <row r="265" spans="1:11" s="593" customFormat="1" ht="12.75" customHeight="1" thickTop="1" thickBot="1" x14ac:dyDescent="0.25">
      <c r="A265" s="563" t="s">
        <v>75</v>
      </c>
      <c r="B265" s="557">
        <v>4999</v>
      </c>
      <c r="C265" s="575">
        <v>25094</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268928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268928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3924342</v>
      </c>
      <c r="D268" s="1715">
        <f t="shared" si="12"/>
        <v>368020</v>
      </c>
      <c r="E268" s="1715">
        <f t="shared" si="12"/>
        <v>110135</v>
      </c>
      <c r="F268" s="1715">
        <f t="shared" si="12"/>
        <v>269566</v>
      </c>
      <c r="G268" s="1715">
        <f t="shared" si="12"/>
        <v>159991</v>
      </c>
      <c r="H268" s="1715">
        <f t="shared" si="12"/>
        <v>148656</v>
      </c>
      <c r="I268" s="1715">
        <f t="shared" si="12"/>
        <v>35430</v>
      </c>
      <c r="J268" s="1715">
        <f t="shared" si="12"/>
        <v>115210</v>
      </c>
      <c r="K268" s="1702">
        <f t="shared" si="12"/>
        <v>28271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1" activePane="bottomLeft" state="frozen"/>
      <selection activeCell="A4" sqref="A4:F4"/>
      <selection pane="bottomLeft" activeCell="K377" sqref="K37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1418770</v>
      </c>
      <c r="D5" s="466">
        <v>182535</v>
      </c>
      <c r="E5" s="466">
        <v>40657</v>
      </c>
      <c r="F5" s="466">
        <v>73924</v>
      </c>
      <c r="G5" s="466">
        <v>4597</v>
      </c>
      <c r="H5" s="466">
        <v>8254</v>
      </c>
      <c r="I5" s="467"/>
      <c r="J5" s="467">
        <v>150</v>
      </c>
      <c r="K5" s="1671">
        <f>SUM(C5:J5)</f>
        <v>1728887</v>
      </c>
      <c r="L5" s="466">
        <v>1832242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58835</v>
      </c>
      <c r="D7" s="467">
        <v>12290</v>
      </c>
      <c r="E7" s="467"/>
      <c r="F7" s="467">
        <v>1247</v>
      </c>
      <c r="G7" s="467"/>
      <c r="H7" s="467"/>
      <c r="I7" s="467"/>
      <c r="J7" s="467"/>
      <c r="K7" s="1671">
        <f t="shared" ref="K7:K32" si="0">SUM(C7:J7)</f>
        <v>72372</v>
      </c>
      <c r="L7" s="466">
        <v>72211</v>
      </c>
    </row>
    <row r="8" spans="1:14" x14ac:dyDescent="0.2">
      <c r="A8" s="1504" t="s">
        <v>164</v>
      </c>
      <c r="B8" s="614">
        <v>1200</v>
      </c>
      <c r="C8" s="466">
        <v>322327</v>
      </c>
      <c r="D8" s="466">
        <v>47300</v>
      </c>
      <c r="E8" s="466">
        <v>3914</v>
      </c>
      <c r="F8" s="466">
        <v>1286</v>
      </c>
      <c r="G8" s="466"/>
      <c r="H8" s="466"/>
      <c r="I8" s="467"/>
      <c r="J8" s="467"/>
      <c r="K8" s="1671">
        <f t="shared" si="0"/>
        <v>374827</v>
      </c>
      <c r="L8" s="466">
        <v>380682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60713</v>
      </c>
      <c r="D10" s="466">
        <v>11232</v>
      </c>
      <c r="E10" s="466">
        <v>13537</v>
      </c>
      <c r="F10" s="466">
        <v>1385</v>
      </c>
      <c r="G10" s="466"/>
      <c r="H10" s="466"/>
      <c r="I10" s="467"/>
      <c r="J10" s="467"/>
      <c r="K10" s="1671">
        <f t="shared" si="0"/>
        <v>86867</v>
      </c>
      <c r="L10" s="466">
        <v>71323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176553</v>
      </c>
      <c r="D13" s="466">
        <v>24897</v>
      </c>
      <c r="E13" s="466">
        <v>3418</v>
      </c>
      <c r="F13" s="466">
        <v>20185</v>
      </c>
      <c r="G13" s="466">
        <v>34477</v>
      </c>
      <c r="H13" s="466"/>
      <c r="I13" s="467"/>
      <c r="J13" s="467"/>
      <c r="K13" s="1671">
        <f t="shared" si="0"/>
        <v>259530</v>
      </c>
      <c r="L13" s="466">
        <v>224157</v>
      </c>
    </row>
    <row r="14" spans="1:14" x14ac:dyDescent="0.2">
      <c r="A14" s="1504" t="s">
        <v>963</v>
      </c>
      <c r="B14" s="614">
        <v>1500</v>
      </c>
      <c r="C14" s="466">
        <v>105410</v>
      </c>
      <c r="D14" s="466">
        <v>1200</v>
      </c>
      <c r="E14" s="466">
        <v>21687</v>
      </c>
      <c r="F14" s="466">
        <v>26123</v>
      </c>
      <c r="G14" s="466">
        <v>8548</v>
      </c>
      <c r="H14" s="466">
        <v>72</v>
      </c>
      <c r="I14" s="467"/>
      <c r="J14" s="467"/>
      <c r="K14" s="1671">
        <f t="shared" si="0"/>
        <v>163040</v>
      </c>
      <c r="L14" s="466">
        <v>180052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22350</v>
      </c>
      <c r="D17" s="467">
        <v>3253</v>
      </c>
      <c r="E17" s="467">
        <v>1575</v>
      </c>
      <c r="F17" s="467"/>
      <c r="G17" s="467"/>
      <c r="H17" s="467"/>
      <c r="I17" s="467"/>
      <c r="J17" s="467"/>
      <c r="K17" s="1671">
        <f t="shared" si="0"/>
        <v>27178</v>
      </c>
      <c r="L17" s="466">
        <v>27201</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2164958</v>
      </c>
      <c r="D33" s="1670">
        <f t="shared" ref="D33:L33" si="1">SUM(D5:D32)</f>
        <v>282707</v>
      </c>
      <c r="E33" s="1670">
        <f t="shared" si="1"/>
        <v>84788</v>
      </c>
      <c r="F33" s="1670">
        <f t="shared" si="1"/>
        <v>124150</v>
      </c>
      <c r="G33" s="1670">
        <f t="shared" si="1"/>
        <v>47622</v>
      </c>
      <c r="H33" s="1670">
        <f t="shared" si="1"/>
        <v>8326</v>
      </c>
      <c r="I33" s="1670">
        <f t="shared" si="1"/>
        <v>0</v>
      </c>
      <c r="J33" s="1670">
        <f t="shared" si="1"/>
        <v>150</v>
      </c>
      <c r="K33" s="1670">
        <f t="shared" si="1"/>
        <v>2712701</v>
      </c>
      <c r="L33" s="1670">
        <f t="shared" si="1"/>
        <v>2787868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53294</v>
      </c>
      <c r="D37" s="466">
        <v>6635</v>
      </c>
      <c r="E37" s="466"/>
      <c r="F37" s="466">
        <v>1264</v>
      </c>
      <c r="G37" s="466"/>
      <c r="H37" s="466"/>
      <c r="I37" s="467"/>
      <c r="J37" s="467"/>
      <c r="K37" s="1671">
        <f t="shared" si="2"/>
        <v>61193</v>
      </c>
      <c r="L37" s="466">
        <v>61817</v>
      </c>
    </row>
    <row r="38" spans="1:14" x14ac:dyDescent="0.2">
      <c r="A38" s="1504" t="s">
        <v>198</v>
      </c>
      <c r="B38" s="614">
        <v>2130</v>
      </c>
      <c r="C38" s="466">
        <v>18615</v>
      </c>
      <c r="D38" s="466">
        <v>87</v>
      </c>
      <c r="E38" s="466">
        <v>149</v>
      </c>
      <c r="F38" s="466">
        <v>2064</v>
      </c>
      <c r="G38" s="466"/>
      <c r="H38" s="466"/>
      <c r="I38" s="467"/>
      <c r="J38" s="467"/>
      <c r="K38" s="1671">
        <f t="shared" si="2"/>
        <v>20915</v>
      </c>
      <c r="L38" s="466">
        <v>35661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36346</v>
      </c>
      <c r="D40" s="466">
        <v>596</v>
      </c>
      <c r="E40" s="466"/>
      <c r="F40" s="466"/>
      <c r="G40" s="466"/>
      <c r="H40" s="466"/>
      <c r="I40" s="467"/>
      <c r="J40" s="467"/>
      <c r="K40" s="1671">
        <f t="shared" si="2"/>
        <v>36942</v>
      </c>
      <c r="L40" s="466">
        <v>35087</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108255</v>
      </c>
      <c r="D42" s="1670">
        <f t="shared" ref="D42:L42" si="3">SUM(D36:D41)</f>
        <v>7318</v>
      </c>
      <c r="E42" s="1670">
        <f t="shared" si="3"/>
        <v>149</v>
      </c>
      <c r="F42" s="1670">
        <f t="shared" si="3"/>
        <v>3328</v>
      </c>
      <c r="G42" s="1670">
        <f t="shared" si="3"/>
        <v>0</v>
      </c>
      <c r="H42" s="1670">
        <f t="shared" si="3"/>
        <v>0</v>
      </c>
      <c r="I42" s="1670">
        <f t="shared" si="3"/>
        <v>0</v>
      </c>
      <c r="J42" s="1670">
        <f t="shared" si="3"/>
        <v>0</v>
      </c>
      <c r="K42" s="1670">
        <f t="shared" si="3"/>
        <v>119050</v>
      </c>
      <c r="L42" s="1670">
        <f t="shared" si="3"/>
        <v>132565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7396</v>
      </c>
      <c r="F44" s="481">
        <v>333</v>
      </c>
      <c r="G44" s="481"/>
      <c r="H44" s="481"/>
      <c r="I44" s="467"/>
      <c r="J44" s="467"/>
      <c r="K44" s="1672">
        <f>SUM(C44:J44)</f>
        <v>7729</v>
      </c>
      <c r="L44" s="481">
        <v>1661</v>
      </c>
    </row>
    <row r="45" spans="1:14" x14ac:dyDescent="0.2">
      <c r="A45" s="1504" t="s">
        <v>815</v>
      </c>
      <c r="B45" s="614">
        <v>2220</v>
      </c>
      <c r="C45" s="466">
        <v>32013</v>
      </c>
      <c r="D45" s="466">
        <v>10802</v>
      </c>
      <c r="E45" s="466">
        <v>38</v>
      </c>
      <c r="F45" s="466">
        <v>8662</v>
      </c>
      <c r="G45" s="466">
        <v>4215</v>
      </c>
      <c r="H45" s="466"/>
      <c r="I45" s="467"/>
      <c r="J45" s="467"/>
      <c r="K45" s="1672">
        <f>SUM(C45:J45)</f>
        <v>55730</v>
      </c>
      <c r="L45" s="466">
        <v>49243</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32013</v>
      </c>
      <c r="D47" s="1670">
        <f t="shared" ref="D47:K47" si="4">SUM(D44:D46)</f>
        <v>10802</v>
      </c>
      <c r="E47" s="1670">
        <f t="shared" si="4"/>
        <v>7434</v>
      </c>
      <c r="F47" s="1670">
        <f t="shared" si="4"/>
        <v>8995</v>
      </c>
      <c r="G47" s="1670">
        <f t="shared" si="4"/>
        <v>4215</v>
      </c>
      <c r="H47" s="1670">
        <f t="shared" si="4"/>
        <v>0</v>
      </c>
      <c r="I47" s="1670">
        <f t="shared" si="4"/>
        <v>0</v>
      </c>
      <c r="J47" s="1670">
        <f t="shared" si="4"/>
        <v>0</v>
      </c>
      <c r="K47" s="1670">
        <f t="shared" si="4"/>
        <v>63459</v>
      </c>
      <c r="L47" s="1670">
        <f>SUM(L44:L46)</f>
        <v>50904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76876</v>
      </c>
      <c r="F49" s="481">
        <v>794</v>
      </c>
      <c r="G49" s="481"/>
      <c r="H49" s="481">
        <v>4183</v>
      </c>
      <c r="I49" s="467"/>
      <c r="J49" s="467"/>
      <c r="K49" s="1672">
        <f>SUM(C49:J49)</f>
        <v>81853</v>
      </c>
      <c r="L49" s="481">
        <v>83267</v>
      </c>
    </row>
    <row r="50" spans="1:14" x14ac:dyDescent="0.2">
      <c r="A50" s="1504" t="s">
        <v>818</v>
      </c>
      <c r="B50" s="614">
        <v>2320</v>
      </c>
      <c r="C50" s="466">
        <v>81433</v>
      </c>
      <c r="D50" s="466">
        <v>32780</v>
      </c>
      <c r="E50" s="466">
        <v>2365</v>
      </c>
      <c r="F50" s="466">
        <v>746</v>
      </c>
      <c r="G50" s="466"/>
      <c r="H50" s="466"/>
      <c r="I50" s="467"/>
      <c r="J50" s="467"/>
      <c r="K50" s="1672">
        <f>SUM(C50:J50)</f>
        <v>117324</v>
      </c>
      <c r="L50" s="466">
        <v>116892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81433</v>
      </c>
      <c r="D53" s="1670">
        <f t="shared" ref="D53:L53" si="5">SUM(D49:D52)</f>
        <v>32780</v>
      </c>
      <c r="E53" s="1670">
        <f t="shared" si="5"/>
        <v>79241</v>
      </c>
      <c r="F53" s="1670">
        <f t="shared" si="5"/>
        <v>1540</v>
      </c>
      <c r="G53" s="1670">
        <f t="shared" si="5"/>
        <v>0</v>
      </c>
      <c r="H53" s="1670">
        <f t="shared" si="5"/>
        <v>4183</v>
      </c>
      <c r="I53" s="1670">
        <f t="shared" si="5"/>
        <v>0</v>
      </c>
      <c r="J53" s="1670">
        <f t="shared" si="5"/>
        <v>0</v>
      </c>
      <c r="K53" s="1670">
        <f t="shared" si="5"/>
        <v>199177</v>
      </c>
      <c r="L53" s="1670">
        <f t="shared" si="5"/>
        <v>200159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150746</v>
      </c>
      <c r="D55" s="481">
        <v>39465</v>
      </c>
      <c r="E55" s="481">
        <v>1179</v>
      </c>
      <c r="F55" s="481">
        <v>3268</v>
      </c>
      <c r="G55" s="481"/>
      <c r="H55" s="481"/>
      <c r="I55" s="467"/>
      <c r="J55" s="467"/>
      <c r="K55" s="1672">
        <f>SUM(C55:J55)</f>
        <v>194658</v>
      </c>
      <c r="L55" s="481">
        <v>220825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150746</v>
      </c>
      <c r="D57" s="1674">
        <f t="shared" ref="D57:K57" si="6">SUM(D55:D56)</f>
        <v>39465</v>
      </c>
      <c r="E57" s="1674">
        <f t="shared" si="6"/>
        <v>1179</v>
      </c>
      <c r="F57" s="1674">
        <f t="shared" si="6"/>
        <v>3268</v>
      </c>
      <c r="G57" s="1674">
        <f t="shared" si="6"/>
        <v>0</v>
      </c>
      <c r="H57" s="1674">
        <f t="shared" si="6"/>
        <v>0</v>
      </c>
      <c r="I57" s="1674">
        <f t="shared" si="6"/>
        <v>0</v>
      </c>
      <c r="J57" s="1674">
        <f t="shared" si="6"/>
        <v>0</v>
      </c>
      <c r="K57" s="1674">
        <f t="shared" si="6"/>
        <v>194658</v>
      </c>
      <c r="L57" s="1670">
        <f>SUM(L55:L56)</f>
        <v>220825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98331</v>
      </c>
      <c r="D60" s="466">
        <v>29433</v>
      </c>
      <c r="E60" s="466">
        <v>4373</v>
      </c>
      <c r="F60" s="466">
        <v>3455</v>
      </c>
      <c r="G60" s="466">
        <v>5608</v>
      </c>
      <c r="H60" s="466">
        <v>45</v>
      </c>
      <c r="I60" s="467"/>
      <c r="J60" s="467"/>
      <c r="K60" s="1672">
        <f t="shared" si="7"/>
        <v>141245</v>
      </c>
      <c r="L60" s="466">
        <v>109712</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54783</v>
      </c>
      <c r="D63" s="466">
        <v>5963</v>
      </c>
      <c r="E63" s="466">
        <v>2541</v>
      </c>
      <c r="F63" s="466">
        <v>86560</v>
      </c>
      <c r="G63" s="466">
        <v>1641</v>
      </c>
      <c r="H63" s="466"/>
      <c r="I63" s="467"/>
      <c r="J63" s="467"/>
      <c r="K63" s="1672">
        <f t="shared" si="7"/>
        <v>151488</v>
      </c>
      <c r="L63" s="466">
        <v>149371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153114</v>
      </c>
      <c r="D65" s="1670">
        <f t="shared" ref="D65:L65" si="8">SUM(D59:D64)</f>
        <v>35396</v>
      </c>
      <c r="E65" s="1670">
        <f t="shared" si="8"/>
        <v>6914</v>
      </c>
      <c r="F65" s="1670">
        <f t="shared" si="8"/>
        <v>90015</v>
      </c>
      <c r="G65" s="1670">
        <f t="shared" si="8"/>
        <v>7249</v>
      </c>
      <c r="H65" s="1670">
        <f t="shared" si="8"/>
        <v>45</v>
      </c>
      <c r="I65" s="1670">
        <f t="shared" si="8"/>
        <v>0</v>
      </c>
      <c r="J65" s="1670">
        <f t="shared" si="8"/>
        <v>0</v>
      </c>
      <c r="K65" s="1670">
        <f t="shared" si="8"/>
        <v>292733</v>
      </c>
      <c r="L65" s="1670">
        <f t="shared" si="8"/>
        <v>259083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525561</v>
      </c>
      <c r="D74" s="1677">
        <f t="shared" ref="D74:K74" si="10">SUM(D42,D47,D53,D57,D65,D72,D73)</f>
        <v>125761</v>
      </c>
      <c r="E74" s="1677">
        <f t="shared" si="10"/>
        <v>94917</v>
      </c>
      <c r="F74" s="1677">
        <f t="shared" si="10"/>
        <v>107146</v>
      </c>
      <c r="G74" s="1677">
        <f t="shared" si="10"/>
        <v>11464</v>
      </c>
      <c r="H74" s="1677">
        <f t="shared" si="10"/>
        <v>4228</v>
      </c>
      <c r="I74" s="1677">
        <f t="shared" si="10"/>
        <v>0</v>
      </c>
      <c r="J74" s="1677">
        <f t="shared" si="10"/>
        <v>0</v>
      </c>
      <c r="K74" s="1677">
        <f t="shared" si="10"/>
        <v>869077</v>
      </c>
      <c r="L74" s="1677">
        <f>SUM(L42,L47,L53,L57,L65,L72,L73)</f>
        <v>863536</v>
      </c>
    </row>
    <row r="75" spans="1:14" s="259" customFormat="1" ht="15.75" customHeight="1" thickTop="1" thickBot="1" x14ac:dyDescent="0.25">
      <c r="A75" s="1610" t="s">
        <v>47</v>
      </c>
      <c r="B75" s="1611" t="s">
        <v>575</v>
      </c>
      <c r="C75" s="573">
        <v>11026</v>
      </c>
      <c r="D75" s="573">
        <v>5353</v>
      </c>
      <c r="E75" s="573"/>
      <c r="F75" s="573">
        <v>1571</v>
      </c>
      <c r="G75" s="573"/>
      <c r="H75" s="573"/>
      <c r="I75" s="531"/>
      <c r="J75" s="531"/>
      <c r="K75" s="1670">
        <f>SUM(C75:J75)</f>
        <v>17950</v>
      </c>
      <c r="L75" s="576">
        <v>18852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86359</v>
      </c>
      <c r="F79" s="616"/>
      <c r="G79" s="616"/>
      <c r="H79" s="466"/>
      <c r="I79" s="477"/>
      <c r="J79" s="477"/>
      <c r="K79" s="1671">
        <f t="shared" si="11"/>
        <v>86359</v>
      </c>
      <c r="L79" s="466">
        <v>85785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87</v>
      </c>
      <c r="F83" s="616"/>
      <c r="G83" s="616"/>
      <c r="H83" s="466"/>
      <c r="I83" s="477"/>
      <c r="J83" s="477"/>
      <c r="K83" s="1671">
        <f t="shared" si="11"/>
        <v>87</v>
      </c>
      <c r="L83" s="466"/>
    </row>
    <row r="84" spans="1:12" ht="13.5" thickBot="1" x14ac:dyDescent="0.25">
      <c r="A84" s="1668" t="s">
        <v>1485</v>
      </c>
      <c r="B84" s="1678">
        <v>4100</v>
      </c>
      <c r="C84" s="616"/>
      <c r="D84" s="616"/>
      <c r="E84" s="1670">
        <f>SUM(E78:E83)</f>
        <v>86446</v>
      </c>
      <c r="F84" s="616"/>
      <c r="G84" s="616"/>
      <c r="H84" s="1670">
        <f>SUM(H78:H83)</f>
        <v>0</v>
      </c>
      <c r="I84" s="477"/>
      <c r="J84" s="477"/>
      <c r="K84" s="1670">
        <f>SUM(K78:K83)</f>
        <v>86446</v>
      </c>
      <c r="L84" s="1670">
        <f>SUM(L78:L83)</f>
        <v>85785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21060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21060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86446</v>
      </c>
      <c r="F102" s="616"/>
      <c r="G102" s="616"/>
      <c r="H102" s="1677">
        <f>SUM(H84,H92,H100,H101)</f>
        <v>0</v>
      </c>
      <c r="I102" s="477"/>
      <c r="J102" s="477"/>
      <c r="K102" s="1677">
        <f>SUM(K84,K92,K100,K101)</f>
        <v>86446</v>
      </c>
      <c r="L102" s="1677">
        <f>SUM(L84,L92,L100,L101)</f>
        <v>106845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2701545</v>
      </c>
      <c r="D114" s="1670">
        <f t="shared" ref="D114:K114" si="13">SUM(D33,D74,D75,D102,D112,D113)</f>
        <v>413821</v>
      </c>
      <c r="E114" s="1670">
        <f t="shared" si="13"/>
        <v>266151</v>
      </c>
      <c r="F114" s="1670">
        <f t="shared" si="13"/>
        <v>232867</v>
      </c>
      <c r="G114" s="1670">
        <f t="shared" si="13"/>
        <v>59086</v>
      </c>
      <c r="H114" s="1670">
        <f>SUM(H33,H74,H75,H102,H112,H113)</f>
        <v>12554</v>
      </c>
      <c r="I114" s="1670">
        <f t="shared" si="13"/>
        <v>0</v>
      </c>
      <c r="J114" s="1670">
        <f t="shared" si="13"/>
        <v>150</v>
      </c>
      <c r="K114" s="1670">
        <f t="shared" si="13"/>
        <v>3686174</v>
      </c>
      <c r="L114" s="1670">
        <f>SUM(L33,L74,L75,L102,L112,L113)</f>
        <v>3777101</v>
      </c>
    </row>
    <row r="115" spans="1:14" ht="13.5" thickTop="1" x14ac:dyDescent="0.2">
      <c r="A115" s="2155" t="s">
        <v>996</v>
      </c>
      <c r="B115" s="2156"/>
      <c r="C115" s="618"/>
      <c r="D115" s="618"/>
      <c r="E115" s="618"/>
      <c r="F115" s="618"/>
      <c r="G115" s="618"/>
      <c r="H115" s="618"/>
      <c r="I115" s="618"/>
      <c r="J115" s="618"/>
      <c r="K115" s="1684">
        <f>'Revenues 9-14'!C268-'Expenditures 15-22'!K114</f>
        <v>238168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133003</v>
      </c>
      <c r="D124" s="466">
        <v>14660</v>
      </c>
      <c r="E124" s="466">
        <v>61511</v>
      </c>
      <c r="F124" s="466">
        <v>105741</v>
      </c>
      <c r="G124" s="466">
        <v>2586</v>
      </c>
      <c r="H124" s="466">
        <v>1235</v>
      </c>
      <c r="I124" s="467"/>
      <c r="J124" s="467"/>
      <c r="K124" s="1670">
        <f>SUM(C124:J124)</f>
        <v>318736</v>
      </c>
      <c r="L124" s="466">
        <v>303801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133003</v>
      </c>
      <c r="D127" s="1670">
        <f t="shared" ref="D127:L127" si="14">SUM(D122:D126)</f>
        <v>14660</v>
      </c>
      <c r="E127" s="1670">
        <f t="shared" si="14"/>
        <v>61511</v>
      </c>
      <c r="F127" s="1670">
        <f t="shared" si="14"/>
        <v>105741</v>
      </c>
      <c r="G127" s="1670">
        <f t="shared" si="14"/>
        <v>2586</v>
      </c>
      <c r="H127" s="1670">
        <f t="shared" si="14"/>
        <v>1235</v>
      </c>
      <c r="I127" s="1670">
        <f t="shared" si="14"/>
        <v>0</v>
      </c>
      <c r="J127" s="1670">
        <f t="shared" si="14"/>
        <v>0</v>
      </c>
      <c r="K127" s="1670">
        <f t="shared" si="14"/>
        <v>318736</v>
      </c>
      <c r="L127" s="1670">
        <f t="shared" si="14"/>
        <v>303801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133003</v>
      </c>
      <c r="D129" s="1677">
        <f t="shared" ref="D129:L129" si="15">SUM(D120,D127,D128)</f>
        <v>14660</v>
      </c>
      <c r="E129" s="1677">
        <f t="shared" si="15"/>
        <v>61511</v>
      </c>
      <c r="F129" s="1677">
        <f t="shared" si="15"/>
        <v>105741</v>
      </c>
      <c r="G129" s="1677">
        <f t="shared" si="15"/>
        <v>2586</v>
      </c>
      <c r="H129" s="1677">
        <f t="shared" si="15"/>
        <v>1235</v>
      </c>
      <c r="I129" s="1677">
        <f t="shared" si="15"/>
        <v>0</v>
      </c>
      <c r="J129" s="1677">
        <f t="shared" si="15"/>
        <v>0</v>
      </c>
      <c r="K129" s="1677">
        <f t="shared" si="15"/>
        <v>318736</v>
      </c>
      <c r="L129" s="1677">
        <f t="shared" si="15"/>
        <v>303801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133003</v>
      </c>
      <c r="D151" s="1670">
        <f t="shared" ref="D151:K151" si="16">SUM(D129,D130,D139,D149,D150)</f>
        <v>14660</v>
      </c>
      <c r="E151" s="1670">
        <f t="shared" si="16"/>
        <v>61511</v>
      </c>
      <c r="F151" s="1670">
        <f t="shared" si="16"/>
        <v>105741</v>
      </c>
      <c r="G151" s="1670">
        <f t="shared" si="16"/>
        <v>2586</v>
      </c>
      <c r="H151" s="1670">
        <f t="shared" si="16"/>
        <v>1235</v>
      </c>
      <c r="I151" s="1670">
        <f t="shared" si="16"/>
        <v>0</v>
      </c>
      <c r="J151" s="1670">
        <f t="shared" si="16"/>
        <v>0</v>
      </c>
      <c r="K151" s="1670">
        <f t="shared" si="16"/>
        <v>318736</v>
      </c>
      <c r="L151" s="1670">
        <f>SUM(L129,L130,L139,L149,L150)</f>
        <v>303801</v>
      </c>
    </row>
    <row r="152" spans="1:14" ht="12.75" customHeight="1" thickTop="1" x14ac:dyDescent="0.2">
      <c r="A152" s="2175" t="s">
        <v>1178</v>
      </c>
      <c r="B152" s="2176"/>
      <c r="C152" s="618"/>
      <c r="D152" s="618"/>
      <c r="E152" s="618"/>
      <c r="F152" s="618"/>
      <c r="G152" s="618"/>
      <c r="H152" s="618"/>
      <c r="I152" s="618"/>
      <c r="J152" s="616"/>
      <c r="K152" s="1684">
        <f>'Revenues 9-14'!D268-'Expenditures 15-22'!K151</f>
        <v>49284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38137</v>
      </c>
      <c r="I169" s="616"/>
      <c r="J169" s="616"/>
      <c r="K169" s="1671">
        <f>SUM(C169:H169)</f>
        <v>38137</v>
      </c>
      <c r="L169" s="656">
        <v>32212</v>
      </c>
    </row>
    <row r="170" spans="1:14" ht="33.75" customHeight="1" x14ac:dyDescent="0.2">
      <c r="A170" s="669" t="s">
        <v>1670</v>
      </c>
      <c r="B170" s="671" t="s">
        <v>31</v>
      </c>
      <c r="C170" s="616"/>
      <c r="D170" s="616"/>
      <c r="E170" s="616"/>
      <c r="F170" s="616"/>
      <c r="G170" s="616"/>
      <c r="H170" s="569">
        <v>143000</v>
      </c>
      <c r="I170" s="616"/>
      <c r="J170" s="616"/>
      <c r="K170" s="1671">
        <f>SUM(C170:J170)</f>
        <v>143000</v>
      </c>
      <c r="L170" s="569">
        <v>148925</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181137</v>
      </c>
      <c r="I172" s="638"/>
      <c r="J172" s="616"/>
      <c r="K172" s="1677">
        <f>SUM(K168,K169,K170,K171)</f>
        <v>181137</v>
      </c>
      <c r="L172" s="1677">
        <f>SUM(L168,L169,L170,L171)</f>
        <v>181137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181137</v>
      </c>
      <c r="I174" s="638"/>
      <c r="J174" s="616"/>
      <c r="K174" s="1677">
        <f>SUM(K160,K172,K173)</f>
        <v>181137</v>
      </c>
      <c r="L174" s="1677">
        <f>SUM(L160,L172,L173)</f>
        <v>181137</v>
      </c>
    </row>
    <row r="175" spans="1:14" ht="13.5" thickTop="1" x14ac:dyDescent="0.2">
      <c r="A175" s="2155" t="s">
        <v>996</v>
      </c>
      <c r="B175" s="2156"/>
      <c r="C175" s="616"/>
      <c r="D175" s="616"/>
      <c r="E175" s="616"/>
      <c r="F175" s="616"/>
      <c r="G175" s="616"/>
      <c r="H175" s="618"/>
      <c r="I175" s="616"/>
      <c r="J175" s="616"/>
      <c r="K175" s="1684">
        <f>'Revenues 9-14'!E268-'Expenditures 15-22'!K174</f>
        <v>-71002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119455</v>
      </c>
      <c r="D182" s="466">
        <v>20586</v>
      </c>
      <c r="E182" s="466">
        <v>18696</v>
      </c>
      <c r="F182" s="466">
        <v>51437</v>
      </c>
      <c r="G182" s="466">
        <v>76806</v>
      </c>
      <c r="H182" s="466"/>
      <c r="I182" s="467"/>
      <c r="J182" s="467"/>
      <c r="K182" s="1671">
        <f>SUM(C182:J182)</f>
        <v>286980</v>
      </c>
      <c r="L182" s="466">
        <v>296502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119455</v>
      </c>
      <c r="D184" s="1677">
        <f t="shared" ref="D184:J184" si="17">SUM(D180,D182,D183)</f>
        <v>20586</v>
      </c>
      <c r="E184" s="1677">
        <f t="shared" si="17"/>
        <v>18696</v>
      </c>
      <c r="F184" s="1677">
        <f t="shared" si="17"/>
        <v>51437</v>
      </c>
      <c r="G184" s="1677">
        <f t="shared" si="17"/>
        <v>76806</v>
      </c>
      <c r="H184" s="1677">
        <f t="shared" si="17"/>
        <v>0</v>
      </c>
      <c r="I184" s="1677">
        <f t="shared" si="17"/>
        <v>0</v>
      </c>
      <c r="J184" s="1677">
        <f t="shared" si="17"/>
        <v>0</v>
      </c>
      <c r="K184" s="1677">
        <f>SUM(K180,K182,K183)</f>
        <v>286980</v>
      </c>
      <c r="L184" s="1677">
        <f>SUM(L180, L182:L183)</f>
        <v>296502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119455</v>
      </c>
      <c r="D210" s="1670">
        <f>SUM(D184,D185)</f>
        <v>20586</v>
      </c>
      <c r="E210" s="1670">
        <f>SUM(E184,E185,E196)</f>
        <v>18696</v>
      </c>
      <c r="F210" s="1670">
        <f>SUM(F184,F185)</f>
        <v>51437</v>
      </c>
      <c r="G210" s="1670">
        <f>SUM(G184,G185)</f>
        <v>76806</v>
      </c>
      <c r="H210" s="1670">
        <f>SUM(H184,H185,H196,H208,H209)</f>
        <v>0</v>
      </c>
      <c r="I210" s="1670">
        <f>SUM(I184,I185)</f>
        <v>0</v>
      </c>
      <c r="J210" s="1670">
        <f>SUM(J184,J185)</f>
        <v>0</v>
      </c>
      <c r="K210" s="1671">
        <f>SUM(K184,K185,K196,K208,K209)</f>
        <v>286980</v>
      </c>
      <c r="L210" s="1670">
        <f>SUM(L184,L185,L196,L208,L209)</f>
        <v>296502</v>
      </c>
    </row>
    <row r="211" spans="1:14" ht="13.5" thickTop="1" x14ac:dyDescent="0.2">
      <c r="A211" s="2155" t="s">
        <v>996</v>
      </c>
      <c r="B211" s="2156"/>
      <c r="C211" s="618"/>
      <c r="D211" s="618"/>
      <c r="E211" s="618"/>
      <c r="F211" s="618"/>
      <c r="G211" s="618"/>
      <c r="H211" s="618"/>
      <c r="I211" s="616"/>
      <c r="J211" s="616"/>
      <c r="K211" s="1684">
        <f>'Revenues 9-14'!F268-'Expenditures 15-22'!K210</f>
        <v>-17414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20841</v>
      </c>
      <c r="E215" s="616"/>
      <c r="F215" s="616"/>
      <c r="G215" s="616"/>
      <c r="H215" s="616"/>
      <c r="I215" s="616"/>
      <c r="J215" s="616"/>
      <c r="K215" s="1671">
        <f>D215</f>
        <v>20841</v>
      </c>
      <c r="L215" s="466">
        <v>21327</v>
      </c>
    </row>
    <row r="216" spans="1:14" x14ac:dyDescent="0.2">
      <c r="A216" s="1504" t="s">
        <v>163</v>
      </c>
      <c r="B216" s="614" t="s">
        <v>967</v>
      </c>
      <c r="C216" s="616"/>
      <c r="D216" s="467">
        <v>3775</v>
      </c>
      <c r="E216" s="616"/>
      <c r="F216" s="616"/>
      <c r="G216" s="616"/>
      <c r="H216" s="616"/>
      <c r="I216" s="616"/>
      <c r="J216" s="616"/>
      <c r="K216" s="1671">
        <f t="shared" ref="K216:K228" si="19">D216</f>
        <v>3775</v>
      </c>
      <c r="L216" s="466">
        <v>3874</v>
      </c>
    </row>
    <row r="217" spans="1:14" x14ac:dyDescent="0.2">
      <c r="A217" s="1504" t="s">
        <v>164</v>
      </c>
      <c r="B217" s="614">
        <v>1200</v>
      </c>
      <c r="C217" s="616"/>
      <c r="D217" s="466">
        <v>21788</v>
      </c>
      <c r="E217" s="616"/>
      <c r="F217" s="616"/>
      <c r="G217" s="616"/>
      <c r="H217" s="616"/>
      <c r="I217" s="616"/>
      <c r="J217" s="616"/>
      <c r="K217" s="1671">
        <f t="shared" si="19"/>
        <v>21788</v>
      </c>
      <c r="L217" s="466">
        <v>23982</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742</v>
      </c>
      <c r="E219" s="616"/>
      <c r="F219" s="616"/>
      <c r="G219" s="616"/>
      <c r="H219" s="616"/>
      <c r="I219" s="616"/>
      <c r="J219" s="616"/>
      <c r="K219" s="1671">
        <f t="shared" si="19"/>
        <v>742</v>
      </c>
      <c r="L219" s="466">
        <v>880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2482</v>
      </c>
      <c r="E222" s="616"/>
      <c r="F222" s="616"/>
      <c r="G222" s="616"/>
      <c r="H222" s="616"/>
      <c r="I222" s="616"/>
      <c r="J222" s="616"/>
      <c r="K222" s="1671">
        <f t="shared" si="19"/>
        <v>2482</v>
      </c>
      <c r="L222" s="466">
        <v>2213</v>
      </c>
    </row>
    <row r="223" spans="1:14" x14ac:dyDescent="0.2">
      <c r="A223" s="1504" t="s">
        <v>963</v>
      </c>
      <c r="B223" s="614">
        <v>1500</v>
      </c>
      <c r="C223" s="616"/>
      <c r="D223" s="466">
        <v>3499</v>
      </c>
      <c r="E223" s="616"/>
      <c r="F223" s="616"/>
      <c r="G223" s="616"/>
      <c r="H223" s="616"/>
      <c r="I223" s="616"/>
      <c r="J223" s="616"/>
      <c r="K223" s="1671">
        <f t="shared" si="19"/>
        <v>3499</v>
      </c>
      <c r="L223" s="466">
        <v>4674</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317</v>
      </c>
      <c r="E226" s="616"/>
      <c r="F226" s="616"/>
      <c r="G226" s="616"/>
      <c r="H226" s="616"/>
      <c r="I226" s="616"/>
      <c r="J226" s="616"/>
      <c r="K226" s="1671">
        <f t="shared" si="19"/>
        <v>317</v>
      </c>
      <c r="L226" s="466">
        <v>324</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53444</v>
      </c>
      <c r="E229" s="616"/>
      <c r="F229" s="616"/>
      <c r="G229" s="616"/>
      <c r="H229" s="616"/>
      <c r="I229" s="616"/>
      <c r="J229" s="616"/>
      <c r="K229" s="1670">
        <f>SUM(K215:K228)</f>
        <v>53444</v>
      </c>
      <c r="L229" s="1670">
        <f>SUM(L215:L228)</f>
        <v>57274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759</v>
      </c>
      <c r="E233" s="616"/>
      <c r="F233" s="616"/>
      <c r="G233" s="616"/>
      <c r="H233" s="616"/>
      <c r="I233" s="616"/>
      <c r="J233" s="616"/>
      <c r="K233" s="1671">
        <f t="shared" si="20"/>
        <v>759</v>
      </c>
      <c r="L233" s="466">
        <v>773</v>
      </c>
    </row>
    <row r="234" spans="1:12" x14ac:dyDescent="0.2">
      <c r="A234" s="1504" t="s">
        <v>198</v>
      </c>
      <c r="B234" s="614">
        <v>2130</v>
      </c>
      <c r="C234" s="616"/>
      <c r="D234" s="466">
        <v>4927</v>
      </c>
      <c r="E234" s="616"/>
      <c r="F234" s="616"/>
      <c r="G234" s="616"/>
      <c r="H234" s="616"/>
      <c r="I234" s="616"/>
      <c r="J234" s="616"/>
      <c r="K234" s="1671">
        <f t="shared" si="20"/>
        <v>4927</v>
      </c>
      <c r="L234" s="466">
        <v>5778</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526</v>
      </c>
      <c r="E236" s="616"/>
      <c r="F236" s="616"/>
      <c r="G236" s="616"/>
      <c r="H236" s="616"/>
      <c r="I236" s="616"/>
      <c r="J236" s="616"/>
      <c r="K236" s="1671">
        <f t="shared" si="20"/>
        <v>526</v>
      </c>
      <c r="L236" s="466">
        <v>377</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6212</v>
      </c>
      <c r="E238" s="616"/>
      <c r="F238" s="616"/>
      <c r="G238" s="616"/>
      <c r="H238" s="616"/>
      <c r="I238" s="616"/>
      <c r="J238" s="616"/>
      <c r="K238" s="1670">
        <f>SUM(K232:K237)</f>
        <v>6212</v>
      </c>
      <c r="L238" s="1670">
        <f>SUM(L232:L237)</f>
        <v>6928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2464</v>
      </c>
      <c r="E241" s="616"/>
      <c r="F241" s="616"/>
      <c r="G241" s="616"/>
      <c r="H241" s="616"/>
      <c r="I241" s="616"/>
      <c r="J241" s="616"/>
      <c r="K241" s="1672">
        <f>D241</f>
        <v>2464</v>
      </c>
      <c r="L241" s="466">
        <v>2963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2464</v>
      </c>
      <c r="E243" s="616"/>
      <c r="F243" s="616"/>
      <c r="G243" s="616"/>
      <c r="H243" s="616"/>
      <c r="I243" s="616"/>
      <c r="J243" s="616"/>
      <c r="K243" s="1670">
        <f>SUM(K240:K242)</f>
        <v>2464</v>
      </c>
      <c r="L243" s="1670">
        <f>SUM(L240:L242)</f>
        <v>2963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1535</v>
      </c>
      <c r="E246" s="616"/>
      <c r="F246" s="616"/>
      <c r="G246" s="616"/>
      <c r="H246" s="616"/>
      <c r="I246" s="616"/>
      <c r="J246" s="616"/>
      <c r="K246" s="1672">
        <f t="shared" ref="K246:K256" si="21">D246</f>
        <v>1535</v>
      </c>
      <c r="L246" s="466">
        <v>1524</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1535</v>
      </c>
      <c r="E257" s="616"/>
      <c r="F257" s="616"/>
      <c r="G257" s="616"/>
      <c r="H257" s="616"/>
      <c r="I257" s="616"/>
      <c r="J257" s="616"/>
      <c r="K257" s="1670">
        <f>SUM(K245:K256)</f>
        <v>1535</v>
      </c>
      <c r="L257" s="1670">
        <f>SUM(L245:L256)</f>
        <v>1524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9931</v>
      </c>
      <c r="E259" s="616"/>
      <c r="F259" s="616"/>
      <c r="G259" s="616"/>
      <c r="H259" s="616"/>
      <c r="I259" s="616"/>
      <c r="J259" s="616"/>
      <c r="K259" s="1672">
        <f>D259</f>
        <v>9931</v>
      </c>
      <c r="L259" s="481">
        <v>10439</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9931</v>
      </c>
      <c r="E261" s="616"/>
      <c r="F261" s="616"/>
      <c r="G261" s="616"/>
      <c r="H261" s="616"/>
      <c r="I261" s="616"/>
      <c r="J261" s="616"/>
      <c r="K261" s="1670">
        <f>SUM(K259:K260)</f>
        <v>9931</v>
      </c>
      <c r="L261" s="1670">
        <f>SUM(L259:L260)</f>
        <v>10439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17903</v>
      </c>
      <c r="E264" s="616"/>
      <c r="F264" s="616"/>
      <c r="G264" s="616"/>
      <c r="H264" s="616"/>
      <c r="I264" s="616"/>
      <c r="J264" s="616"/>
      <c r="K264" s="1672">
        <f t="shared" ref="K264:K269" si="22">D264</f>
        <v>17903</v>
      </c>
      <c r="L264" s="466">
        <v>16579</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25812</v>
      </c>
      <c r="E266" s="616"/>
      <c r="F266" s="616"/>
      <c r="G266" s="616"/>
      <c r="H266" s="616"/>
      <c r="I266" s="616"/>
      <c r="J266" s="616"/>
      <c r="K266" s="1672">
        <f t="shared" si="22"/>
        <v>25812</v>
      </c>
      <c r="L266" s="466">
        <v>24733</v>
      </c>
    </row>
    <row r="267" spans="1:14" x14ac:dyDescent="0.2">
      <c r="A267" s="1504" t="s">
        <v>953</v>
      </c>
      <c r="B267" s="614">
        <v>2550</v>
      </c>
      <c r="C267" s="616"/>
      <c r="D267" s="466">
        <v>20462</v>
      </c>
      <c r="E267" s="616"/>
      <c r="F267" s="616"/>
      <c r="G267" s="616"/>
      <c r="H267" s="616"/>
      <c r="I267" s="616"/>
      <c r="J267" s="616"/>
      <c r="K267" s="1672">
        <f t="shared" si="22"/>
        <v>20462</v>
      </c>
      <c r="L267" s="466">
        <v>15128</v>
      </c>
    </row>
    <row r="268" spans="1:14" x14ac:dyDescent="0.2">
      <c r="A268" s="1504" t="s">
        <v>100</v>
      </c>
      <c r="B268" s="614">
        <v>2560</v>
      </c>
      <c r="C268" s="616"/>
      <c r="D268" s="466">
        <v>11320</v>
      </c>
      <c r="E268" s="616"/>
      <c r="F268" s="616"/>
      <c r="G268" s="616"/>
      <c r="H268" s="616"/>
      <c r="I268" s="616"/>
      <c r="J268" s="616"/>
      <c r="K268" s="1672">
        <f t="shared" si="22"/>
        <v>11320</v>
      </c>
      <c r="L268" s="466">
        <v>8925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75497</v>
      </c>
      <c r="E270" s="616"/>
      <c r="F270" s="616"/>
      <c r="G270" s="616"/>
      <c r="H270" s="616"/>
      <c r="I270" s="616"/>
      <c r="J270" s="616"/>
      <c r="K270" s="1670">
        <f>SUM(K263:K269)</f>
        <v>75497</v>
      </c>
      <c r="L270" s="1670">
        <f>SUM(L263:L269)</f>
        <v>65365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95639</v>
      </c>
      <c r="E279" s="616"/>
      <c r="F279" s="616"/>
      <c r="G279" s="616"/>
      <c r="H279" s="616"/>
      <c r="I279" s="616"/>
      <c r="J279" s="616"/>
      <c r="K279" s="1677">
        <f>SUM(K238,K243,K257,K261,K270,K277,K278)</f>
        <v>95639</v>
      </c>
      <c r="L279" s="1677">
        <f>SUM(L238,L243,L257,L261,L270,L277,L278)</f>
        <v>87219</v>
      </c>
    </row>
    <row r="280" spans="1:12" ht="15.75" customHeight="1" thickTop="1" thickBot="1" x14ac:dyDescent="0.25">
      <c r="A280" s="1624" t="s">
        <v>875</v>
      </c>
      <c r="B280" s="1613">
        <v>3000</v>
      </c>
      <c r="C280" s="616"/>
      <c r="D280" s="576">
        <v>1970</v>
      </c>
      <c r="E280" s="616"/>
      <c r="F280" s="616"/>
      <c r="G280" s="616"/>
      <c r="H280" s="616"/>
      <c r="I280" s="616"/>
      <c r="J280" s="616"/>
      <c r="K280" s="1679">
        <f>D280</f>
        <v>1970</v>
      </c>
      <c r="L280" s="576">
        <v>2166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151053</v>
      </c>
      <c r="E295" s="616"/>
      <c r="F295" s="616"/>
      <c r="G295" s="616"/>
      <c r="H295" s="1670">
        <f>H293</f>
        <v>0</v>
      </c>
      <c r="I295" s="616"/>
      <c r="J295" s="616"/>
      <c r="K295" s="1670">
        <f>SUM(K229,K279,K280,K285,K293,K294)</f>
        <v>151053</v>
      </c>
      <c r="L295" s="1670">
        <f>SUM(L229,L279,L280,L285,L293,L294)</f>
        <v>146659</v>
      </c>
    </row>
    <row r="296" spans="1:14" ht="13.5" thickTop="1" x14ac:dyDescent="0.2">
      <c r="A296" s="2155" t="s">
        <v>996</v>
      </c>
      <c r="B296" s="2156"/>
      <c r="C296" s="616"/>
      <c r="D296" s="618"/>
      <c r="E296" s="616"/>
      <c r="F296" s="616"/>
      <c r="G296" s="616"/>
      <c r="H296" s="687"/>
      <c r="I296" s="616"/>
      <c r="J296" s="616"/>
      <c r="K296" s="1684">
        <f>'Revenues 9-14'!G268-'Expenditures 15-22'!K295</f>
        <v>8938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33351</v>
      </c>
      <c r="F301" s="466">
        <v>10430</v>
      </c>
      <c r="G301" s="466">
        <v>129673</v>
      </c>
      <c r="H301" s="466"/>
      <c r="I301" s="467"/>
      <c r="J301" s="467"/>
      <c r="K301" s="1671">
        <f>SUM(C301:J301)</f>
        <v>173454</v>
      </c>
      <c r="L301" s="467">
        <v>45000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33351</v>
      </c>
      <c r="F303" s="1677">
        <f t="shared" si="23"/>
        <v>10430</v>
      </c>
      <c r="G303" s="1677">
        <f t="shared" si="23"/>
        <v>129673</v>
      </c>
      <c r="H303" s="1677">
        <f t="shared" si="23"/>
        <v>0</v>
      </c>
      <c r="I303" s="1677">
        <f t="shared" si="23"/>
        <v>0</v>
      </c>
      <c r="J303" s="1677">
        <f t="shared" si="23"/>
        <v>0</v>
      </c>
      <c r="K303" s="1677">
        <f t="shared" si="23"/>
        <v>173454</v>
      </c>
      <c r="L303" s="1677">
        <f t="shared" si="23"/>
        <v>45000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33351</v>
      </c>
      <c r="F312" s="1670">
        <f>SUM(F303)</f>
        <v>10430</v>
      </c>
      <c r="G312" s="1670">
        <f>SUM(G303)</f>
        <v>129673</v>
      </c>
      <c r="H312" s="1670">
        <f>SUM(H303,H310)</f>
        <v>0</v>
      </c>
      <c r="I312" s="1670">
        <f>SUM(I303)</f>
        <v>0</v>
      </c>
      <c r="J312" s="1670">
        <f>SUM(J303)</f>
        <v>0</v>
      </c>
      <c r="K312" s="1670">
        <f>SUM(K303,K310,K311)</f>
        <v>173454</v>
      </c>
      <c r="L312" s="1670">
        <f>SUM(L303,L310,L311)</f>
        <v>45000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-24798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2108</v>
      </c>
      <c r="F322" s="467"/>
      <c r="G322" s="467"/>
      <c r="H322" s="467"/>
      <c r="I322" s="467"/>
      <c r="J322" s="467"/>
      <c r="K322" s="1671">
        <f t="shared" si="24"/>
        <v>2108</v>
      </c>
      <c r="L322" s="467">
        <v>2108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88639</v>
      </c>
      <c r="D325" s="467"/>
      <c r="E325" s="467">
        <v>19212</v>
      </c>
      <c r="F325" s="467">
        <v>299</v>
      </c>
      <c r="G325" s="467">
        <v>7691</v>
      </c>
      <c r="H325" s="467"/>
      <c r="I325" s="467"/>
      <c r="J325" s="467"/>
      <c r="K325" s="1671">
        <f t="shared" si="24"/>
        <v>115841</v>
      </c>
      <c r="L325" s="467">
        <v>107320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2434</v>
      </c>
      <c r="F327" s="467"/>
      <c r="G327" s="467"/>
      <c r="H327" s="467"/>
      <c r="I327" s="467"/>
      <c r="J327" s="467"/>
      <c r="K327" s="1671">
        <f t="shared" si="24"/>
        <v>2434</v>
      </c>
      <c r="L327" s="467">
        <v>5600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88639</v>
      </c>
      <c r="D330" s="1670">
        <f t="shared" ref="D330:J330" si="25">SUM(D319:D329)</f>
        <v>0</v>
      </c>
      <c r="E330" s="1670">
        <f t="shared" si="25"/>
        <v>23754</v>
      </c>
      <c r="F330" s="1670">
        <f t="shared" si="25"/>
        <v>299</v>
      </c>
      <c r="G330" s="1670">
        <f t="shared" si="25"/>
        <v>7691</v>
      </c>
      <c r="H330" s="1670">
        <f t="shared" si="25"/>
        <v>0</v>
      </c>
      <c r="I330" s="1670">
        <f t="shared" si="25"/>
        <v>0</v>
      </c>
      <c r="J330" s="1670">
        <f t="shared" si="25"/>
        <v>0</v>
      </c>
      <c r="K330" s="1670">
        <f>SUM(K319:K329)</f>
        <v>120383</v>
      </c>
      <c r="L330" s="1670">
        <f>SUM(L319:L329)</f>
        <v>115028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88639</v>
      </c>
      <c r="D342" s="1670">
        <f>SUM(D330)</f>
        <v>0</v>
      </c>
      <c r="E342" s="1670">
        <f>SUM(E330)</f>
        <v>23754</v>
      </c>
      <c r="F342" s="1670">
        <f>SUM(F330)</f>
        <v>299</v>
      </c>
      <c r="G342" s="1670">
        <f>SUM(G330)</f>
        <v>7691</v>
      </c>
      <c r="H342" s="1670">
        <f>SUM(H330,H334,H340)</f>
        <v>0</v>
      </c>
      <c r="I342" s="1670">
        <f>SUM(I330)</f>
        <v>0</v>
      </c>
      <c r="J342" s="1670">
        <f>SUM(J330)</f>
        <v>0</v>
      </c>
      <c r="K342" s="1670">
        <f>SUM(K330,K334,K340)</f>
        <v>120383</v>
      </c>
      <c r="L342" s="1677">
        <f>SUM(L330,L340,L341)</f>
        <v>115028</v>
      </c>
    </row>
    <row r="343" spans="1:14" ht="12.75" customHeight="1" thickTop="1" x14ac:dyDescent="0.2">
      <c r="A343" s="2168" t="s">
        <v>996</v>
      </c>
      <c r="B343" s="2169"/>
      <c r="C343" s="616"/>
      <c r="D343" s="616"/>
      <c r="E343" s="616"/>
      <c r="F343" s="616"/>
      <c r="G343" s="616"/>
      <c r="H343" s="616"/>
      <c r="I343" s="616"/>
      <c r="J343" s="616"/>
      <c r="K343" s="1684">
        <f>'Revenues 9-14'!J268-'Expenditures 15-22'!K342</f>
        <v>-5173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8983</v>
      </c>
      <c r="F349" s="466"/>
      <c r="G349" s="466"/>
      <c r="H349" s="466"/>
      <c r="I349" s="467"/>
      <c r="J349" s="467"/>
      <c r="K349" s="1671">
        <f>SUM(C349:J349)</f>
        <v>8983</v>
      </c>
      <c r="L349" s="466">
        <v>2675</v>
      </c>
    </row>
    <row r="350" spans="1:14" ht="12.75" customHeight="1" thickBot="1" x14ac:dyDescent="0.25">
      <c r="A350" s="1668" t="s">
        <v>719</v>
      </c>
      <c r="B350" s="1669" t="s">
        <v>35</v>
      </c>
      <c r="C350" s="1670">
        <f>SUM(C348:C349)</f>
        <v>0</v>
      </c>
      <c r="D350" s="1670">
        <f t="shared" ref="D350:L350" si="26">SUM(D348:D349)</f>
        <v>0</v>
      </c>
      <c r="E350" s="1670">
        <f t="shared" si="26"/>
        <v>8983</v>
      </c>
      <c r="F350" s="1670">
        <f t="shared" si="26"/>
        <v>0</v>
      </c>
      <c r="G350" s="1670">
        <f t="shared" si="26"/>
        <v>0</v>
      </c>
      <c r="H350" s="1670">
        <f t="shared" si="26"/>
        <v>0</v>
      </c>
      <c r="I350" s="1670">
        <f t="shared" si="26"/>
        <v>0</v>
      </c>
      <c r="J350" s="1670">
        <f t="shared" si="26"/>
        <v>0</v>
      </c>
      <c r="K350" s="1670">
        <f t="shared" si="26"/>
        <v>8983</v>
      </c>
      <c r="L350" s="1670">
        <f t="shared" si="26"/>
        <v>2675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8983</v>
      </c>
      <c r="F352" s="1670">
        <f t="shared" si="27"/>
        <v>0</v>
      </c>
      <c r="G352" s="1670">
        <f t="shared" si="27"/>
        <v>0</v>
      </c>
      <c r="H352" s="1670">
        <f t="shared" si="27"/>
        <v>0</v>
      </c>
      <c r="I352" s="1670">
        <f t="shared" si="27"/>
        <v>0</v>
      </c>
      <c r="J352" s="1670">
        <f t="shared" si="27"/>
        <v>0</v>
      </c>
      <c r="K352" s="1670">
        <f t="shared" si="27"/>
        <v>8983</v>
      </c>
      <c r="L352" s="1670">
        <f t="shared" si="27"/>
        <v>2675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8983</v>
      </c>
      <c r="F367" s="1670">
        <f t="shared" si="28"/>
        <v>0</v>
      </c>
      <c r="G367" s="1670">
        <f t="shared" si="28"/>
        <v>0</v>
      </c>
      <c r="H367" s="1670">
        <f t="shared" si="28"/>
        <v>0</v>
      </c>
      <c r="I367" s="1670">
        <f t="shared" si="28"/>
        <v>0</v>
      </c>
      <c r="J367" s="1670">
        <f t="shared" si="28"/>
        <v>0</v>
      </c>
      <c r="K367" s="1670">
        <f t="shared" si="28"/>
        <v>8983</v>
      </c>
      <c r="L367" s="1670">
        <f t="shared" si="28"/>
        <v>2675</v>
      </c>
    </row>
    <row r="368" spans="1:14" ht="13.5" thickTop="1" x14ac:dyDescent="0.2">
      <c r="A368" s="2155" t="s">
        <v>996</v>
      </c>
      <c r="B368" s="2156"/>
      <c r="C368" s="654"/>
      <c r="D368" s="654"/>
      <c r="E368" s="626"/>
      <c r="F368" s="626"/>
      <c r="G368" s="626"/>
      <c r="H368" s="626"/>
      <c r="I368" s="626"/>
      <c r="J368" s="623"/>
      <c r="K368" s="1671">
        <f>'Revenues 9-14'!K268-'Expenditures 15-22'!K367</f>
        <v>19288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6ce3111e-7420-4802-b50a-75d4e9a0b980"/>
    <ds:schemaRef ds:uri="http://purl.org/dc/dcmitype/"/>
    <ds:schemaRef ds:uri="http://schemas.microsoft.com/office/2006/documentManagement/types"/>
    <ds:schemaRef ds:uri="http://purl.org/dc/elements/1.1/"/>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PCTC-OEPP 27-28</vt:lpstr>
      <vt:lpstr>Cap Outlay Deprec 26</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2019-3</vt:lpstr>
      <vt:lpstr>SF&amp;QC Sec-2 2019-2</vt:lpstr>
      <vt:lpstr>SF&amp;QC Sec-2 2019-1</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2019-09-11T16:32:56Z</cp:lastPrinted>
  <dcterms:created xsi:type="dcterms:W3CDTF">2003-10-29T19:06:34Z</dcterms:created>
  <dcterms:modified xsi:type="dcterms:W3CDTF">2019-11-25T14:29:40Z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