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CE6FACD-9BB4-454E-9445-FE4B478D44BE}" xr6:coauthVersionLast="36" xr6:coauthVersionMax="36" xr10:uidLastSave="{00000000-0000-0000-0000-000000000000}"/>
  <bookViews>
    <workbookView xWindow="-105" yWindow="-105" windowWidth="20370" windowHeight="122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3)" sheetId="184" r:id="rId31"/>
    <sheet name="SF&amp;QC Sec-2 (2)" sheetId="183" r:id="rId32"/>
    <sheet name="SF&amp;QC Sec-2" sheetId="175" r:id="rId33"/>
    <sheet name="SF&amp;QC Sec-3" sheetId="176" r:id="rId34"/>
    <sheet name="SSPAF" sheetId="177"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2">#REF!</definedName>
    <definedName name="SCHADDRS" localSheetId="31">#REF!</definedName>
    <definedName name="SCHADDRS" localSheetId="30">#REF!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2">#REF!</definedName>
    <definedName name="SCHCTY" localSheetId="31">#REF!</definedName>
    <definedName name="SCHCTY" localSheetId="30">#REF!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2">#REF!</definedName>
    <definedName name="SCHNMBR" localSheetId="31">#REF!</definedName>
    <definedName name="SCHNMBR" localSheetId="30">#REF!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2">#REF!</definedName>
    <definedName name="SCHNME" localSheetId="31">#REF!</definedName>
    <definedName name="SCHNME" localSheetId="30">#REF!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2">#REF!</definedName>
    <definedName name="SUPT" localSheetId="31">#REF!</definedName>
    <definedName name="SUPT" localSheetId="30">#REF!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C252" i="5"/>
  <c r="B7761" i="106"/>
  <c r="D7761" i="106" s="1"/>
  <c r="L127" i="29"/>
  <c r="L129" i="29" s="1"/>
  <c r="L139" i="29"/>
  <c r="L149" i="29"/>
  <c r="I7" i="145"/>
  <c r="I6" i="145"/>
  <c r="D78" i="36"/>
  <c r="K75" i="29"/>
  <c r="C14" i="4" s="1"/>
  <c r="B2558" i="106" s="1"/>
  <c r="D2558" i="106" s="1"/>
  <c r="K130" i="29"/>
  <c r="D14" i="4" s="1"/>
  <c r="B2570" i="106" s="1"/>
  <c r="D2570" i="106"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D27" i="108"/>
  <c r="E27" i="108"/>
  <c r="G27" i="108"/>
  <c r="G28" i="108"/>
  <c r="E31" i="108"/>
  <c r="G31" i="108"/>
  <c r="E33" i="108"/>
  <c r="G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D24" i="37"/>
  <c r="B4270" i="106" s="1"/>
  <c r="D4270" i="106" s="1"/>
  <c r="B5752" i="106"/>
  <c r="D5752" i="106" s="1"/>
  <c r="D17" i="7"/>
  <c r="B4104" i="106" s="1"/>
  <c r="D4104" i="106" s="1"/>
  <c r="F56" i="34" l="1"/>
  <c r="F50" i="34"/>
  <c r="F44" i="34"/>
  <c r="F37" i="34"/>
  <c r="E30" i="108"/>
  <c r="E26" i="108"/>
  <c r="D68" i="36"/>
  <c r="J352" i="29"/>
  <c r="J367" i="29" s="1"/>
  <c r="B7245" i="106" s="1"/>
  <c r="B7074" i="106"/>
  <c r="D7074" i="106" s="1"/>
  <c r="J77" i="4"/>
  <c r="B6262" i="106" s="1"/>
  <c r="D6262" i="106" s="1"/>
  <c r="B4211" i="106"/>
  <c r="D4211" i="106" s="1"/>
  <c r="J23" i="12"/>
  <c r="B7730" i="106" s="1"/>
  <c r="D7730" i="106" s="1"/>
  <c r="G14" i="4"/>
  <c r="B2609" i="106" s="1"/>
  <c r="D2609" i="106" s="1"/>
  <c r="F71" i="34"/>
  <c r="B7076" i="106"/>
  <c r="D7076" i="106" s="1"/>
  <c r="H76" i="4"/>
  <c r="B3298" i="106" s="1"/>
  <c r="D3298" i="106" s="1"/>
  <c r="B1274" i="106"/>
  <c r="D1274" i="106" s="1"/>
  <c r="B1124" i="106"/>
  <c r="D1124" i="106" s="1"/>
  <c r="G15" i="145"/>
  <c r="D36" i="108"/>
  <c r="F36" i="108"/>
  <c r="G26" i="108"/>
  <c r="C342" i="29"/>
  <c r="B7216" i="106" s="1"/>
  <c r="D7216" i="106" s="1"/>
  <c r="B6289" i="106"/>
  <c r="D6289" i="106" s="1"/>
  <c r="F72" i="34"/>
  <c r="G30" i="108"/>
  <c r="B6995" i="106"/>
  <c r="D6995" i="106" s="1"/>
  <c r="H365" i="29"/>
  <c r="B7242" i="106" s="1"/>
  <c r="D7242" i="106" s="1"/>
  <c r="F77" i="4"/>
  <c r="B3255" i="106" s="1"/>
  <c r="D3255" i="106" s="1"/>
  <c r="C129" i="29"/>
  <c r="L15" i="11"/>
  <c r="B3459" i="106" s="1"/>
  <c r="D3459" i="106" s="1"/>
  <c r="D54" i="36"/>
  <c r="L13" i="11"/>
  <c r="B2060" i="106" s="1"/>
  <c r="D2060" i="106" s="1"/>
  <c r="D37" i="108"/>
  <c r="D7245" i="106"/>
  <c r="D9" i="7"/>
  <c r="B1767" i="106" s="1"/>
  <c r="D1767" i="106" s="1"/>
  <c r="H29" i="118"/>
  <c r="N22" i="3"/>
  <c r="B283" i="106" s="1"/>
  <c r="D283" i="106" s="1"/>
  <c r="L342" i="29"/>
  <c r="F62" i="34"/>
  <c r="F49" i="34"/>
  <c r="G38" i="108"/>
  <c r="D31" i="108"/>
  <c r="D41" i="108" s="1"/>
  <c r="E43" i="108" s="1"/>
  <c r="B2805" i="106"/>
  <c r="D2805" i="106" s="1"/>
  <c r="D11" i="37"/>
  <c r="F19" i="7"/>
  <c r="B1807" i="106" s="1"/>
  <c r="D1807" i="106" s="1"/>
  <c r="L5" i="11"/>
  <c r="B2056" i="106" s="1"/>
  <c r="D2056" i="106" s="1"/>
  <c r="H28" i="118"/>
  <c r="F42" i="34"/>
  <c r="E38" i="108"/>
  <c r="F28" i="108"/>
  <c r="J41" i="3"/>
  <c r="K184" i="29"/>
  <c r="F13" i="4" s="1"/>
  <c r="B2596" i="106" s="1"/>
  <c r="D2596" i="106" s="1"/>
  <c r="G210" i="29"/>
  <c r="G39" i="108"/>
  <c r="H342" i="29"/>
  <c r="B7221" i="106" s="1"/>
  <c r="D7221" i="106" s="1"/>
  <c r="J129" i="29"/>
  <c r="B7038" i="106" s="1"/>
  <c r="D7038" i="106" s="1"/>
  <c r="K41" i="3"/>
  <c r="B3568" i="106" s="1"/>
  <c r="D3568" i="106" s="1"/>
  <c r="G29" i="108"/>
  <c r="I129" i="29"/>
  <c r="B7037" i="106" s="1"/>
  <c r="D7037" i="106" s="1"/>
  <c r="D6103" i="106"/>
  <c r="B1308" i="106"/>
  <c r="D1308" i="106" s="1"/>
  <c r="E174" i="29"/>
  <c r="B1309" i="106" s="1"/>
  <c r="D1309" i="106" s="1"/>
  <c r="F37" i="108"/>
  <c r="D31" i="36"/>
  <c r="L367" i="29"/>
  <c r="E28" i="108"/>
  <c r="L22" i="37"/>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270" i="106"/>
  <c r="B7235" i="106" l="1"/>
  <c r="D7235" i="106" s="1"/>
  <c r="H77" i="4"/>
  <c r="B3299" i="106" s="1"/>
  <c r="D3299" i="106" s="1"/>
  <c r="N23" i="3"/>
  <c r="B284" i="106" s="1"/>
  <c r="D284" i="106" s="1"/>
  <c r="L114" i="29"/>
  <c r="D52" i="36"/>
  <c r="B1317" i="106"/>
  <c r="D1317" i="106" s="1"/>
  <c r="B5527" i="106"/>
  <c r="D5527" i="106" s="1"/>
  <c r="F41" i="108"/>
  <c r="G43" i="108" s="1"/>
  <c r="C114" i="29"/>
  <c r="B757" i="106" s="1"/>
  <c r="D757" i="106" s="1"/>
  <c r="B5778" i="106"/>
  <c r="D5778" i="106" s="1"/>
  <c r="G6" i="4"/>
  <c r="B2604" i="106" s="1"/>
  <c r="D2604" i="106" s="1"/>
  <c r="B1996" i="106"/>
  <c r="D1996" i="106" s="1"/>
  <c r="I26" i="12"/>
  <c r="B7741" i="106" s="1"/>
  <c r="D7741" i="106" s="1"/>
  <c r="K342" i="29"/>
  <c r="F13" i="34" s="1"/>
  <c r="D7254" i="106"/>
  <c r="J16" i="4"/>
  <c r="B6226" i="106" s="1"/>
  <c r="D6226" i="106" s="1"/>
  <c r="L16" i="11"/>
  <c r="B2061" i="106" s="1"/>
  <c r="D2061" i="106" s="1"/>
  <c r="B1365" i="106"/>
  <c r="D1365" i="106" s="1"/>
  <c r="F65" i="34"/>
  <c r="B7215" i="106"/>
  <c r="D7215" i="106" s="1"/>
  <c r="F174" i="34"/>
  <c r="K28" i="118"/>
  <c r="O27" i="118" s="1"/>
  <c r="O29" i="118" s="1"/>
  <c r="B1381" i="106"/>
  <c r="D1381" i="106" s="1"/>
  <c r="J151" i="29"/>
  <c r="B7052" i="106" s="1"/>
  <c r="D7052" i="106" s="1"/>
  <c r="B1266" i="106"/>
  <c r="D1266" i="106" s="1"/>
  <c r="K365" i="29"/>
  <c r="K16" i="4" s="1"/>
  <c r="D7253" i="106"/>
  <c r="B5770" i="106"/>
  <c r="D5770" i="106" s="1"/>
  <c r="D44" i="36"/>
  <c r="B1328" i="106"/>
  <c r="D1328" i="106" s="1"/>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367" i="29"/>
  <c r="B3678" i="106" s="1"/>
  <c r="D3678"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8" i="4" l="1"/>
  <c r="F10" i="4" s="1"/>
  <c r="B4125" i="106" s="1"/>
  <c r="D4125" i="106" s="1"/>
  <c r="J20" i="4"/>
  <c r="B6230" i="106" s="1"/>
  <c r="D6230" i="106" s="1"/>
  <c r="B6227" i="106"/>
  <c r="D6227" i="106" s="1"/>
  <c r="D8" i="146"/>
  <c r="K17" i="4"/>
  <c r="K19" i="4" s="1"/>
  <c r="B4144" i="106" s="1"/>
  <c r="D4144"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K20" i="4" l="1"/>
  <c r="K78"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<sst xmlns="http://schemas.openxmlformats.org/spreadsheetml/2006/main" count="5179" uniqueCount="2152">
  <si>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</si>
  <si>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</si>
  <si>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</si>
  <si>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</si>
  <si>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</si>
  <si>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</si>
  <si>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</si>
  <si>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</si>
  <si>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</si>
  <si>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</si>
  <si>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</si>
  <si>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</si>
  <si>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</si>
  <si>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</si>
  <si>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</si>
  <si>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</si>
  <si>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</si>
  <si>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</si>
  <si>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</si>
  <si>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</si>
  <si>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</si>
  <si>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</si>
  <si>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</si>
  <si>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</si>
  <si>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</si>
  <si>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</si>
  <si>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</si>
  <si>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</si>
  <si>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</si>
  <si>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</si>
  <si>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</si>
  <si>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</si>
  <si>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</si>
  <si>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</si>
  <si>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</si>
  <si>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</si>
  <si>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</si>
  <si>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</si>
  <si>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</si>
  <si>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</si>
  <si>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</si>
  <si>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</si>
  <si>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</si>
  <si>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</si>
  <si>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</si>
  <si>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</si>
  <si>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</si>
  <si>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</si>
  <si>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</si>
  <si>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</si>
  <si>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</si>
  <si>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</si>
  <si>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</si>
  <si>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</si>
  <si>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</si>
  <si>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</si>
  <si>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</si>
  <si>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</si>
  <si>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</si>
  <si>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</si>
  <si>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</si>
  <si>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</si>
  <si>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</si>
  <si>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</si>
  <si>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</si>
  <si>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</si>
  <si>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</si>
  <si>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</si>
  <si>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</si>
  <si>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</si>
  <si>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</si>
  <si>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</si>
  <si>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</si>
  <si>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</si>
  <si>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</si>
  <si>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</si>
  <si>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</si>
  <si>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</si>
  <si>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</si>
  <si>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</si>
  <si>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</si>
  <si>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</si>
  <si>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</si>
  <si>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</si>
  <si>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</si>
  <si>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</si>
  <si>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</si>
  <si>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</si>
  <si>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</si>
  <si>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</si>
  <si>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</si>
  <si>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</si>
  <si>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</si>
  <si>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</si>
  <si>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</si>
  <si>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</si>
  <si>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</si>
  <si>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</si>
  <si>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</si>
  <si>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</si>
  <si>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</si>
  <si>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</si>
  <si>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</si>
  <si>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</si>
  <si>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</si>
  <si>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</si>
  <si>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</si>
  <si>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</si>
  <si>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</si>
  <si>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</si>
  <si>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</si>
  <si>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</si>
  <si>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</si>
  <si>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</si>
  <si>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</si>
  <si>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</si>
  <si>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</si>
  <si>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</si>
  <si>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</si>
  <si>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</si>
  <si>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</si>
  <si>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</si>
  <si>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</si>
  <si>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</si>
  <si>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</si>
  <si>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</si>
  <si>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</si>
  <si>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</si>
  <si>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</si>
  <si>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</si>
  <si>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</si>
  <si>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</si>
  <si>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</si>
  <si>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</si>
  <si>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</si>
  <si>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</si>
  <si>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</si>
  <si>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</si>
  <si>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</si>
  <si>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</si>
  <si>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</si>
  <si>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</si>
  <si>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</si>
  <si>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</si>
  <si>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</si>
  <si>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</si>
  <si>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</si>
  <si>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</si>
  <si>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</si>
  <si>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</si>
  <si>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</si>
  <si>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</si>
  <si>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</si>
  <si>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</si>
  <si>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</si>
  <si>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</si>
  <si>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</si>
  <si>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</si>
  <si>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</si>
  <si>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</si>
  <si>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</si>
  <si>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</si>
  <si>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</si>
  <si>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</si>
  <si>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</si>
  <si>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</si>
  <si>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</si>
  <si>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</si>
  <si>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</si>
  <si>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</si>
  <si>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</si>
  <si>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</si>
  <si>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</si>
  <si>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</si>
  <si>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</si>
  <si>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</si>
  <si>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</si>
  <si>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</si>
  <si>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</si>
  <si>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</si>
  <si>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</si>
  <si>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</si>
  <si>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</si>
  <si>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</si>
  <si>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</si>
  <si>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</si>
  <si>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</si>
  <si>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</si>
  <si>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</si>
  <si>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</si>
  <si>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</si>
  <si>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</si>
  <si>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</si>
  <si>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</si>
  <si>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</si>
  <si>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</si>
  <si>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</si>
  <si>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</si>
  <si>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</si>
  <si>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</si>
  <si>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</si>
  <si>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</si>
  <si>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</si>
  <si>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</si>
  <si>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</si>
  <si>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</si>
  <si>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</si>
  <si>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</si>
  <si>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</si>
  <si>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</si>
  <si>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</si>
  <si>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</si>
  <si>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</si>
  <si>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</si>
  <si>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</si>
  <si>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</si>
  <si>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</si>
  <si>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</si>
  <si>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</si>
  <si>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</si>
  <si>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</si>
  <si>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</si>
  <si>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</si>
  <si>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</si>
  <si>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</si>
  <si>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</si>
  <si>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</si>
  <si>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</si>
  <si>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</si>
  <si>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</si>
  <si>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</si>
  <si>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</si>
  <si>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</si>
  <si>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</si>
  <si>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</si>
  <si>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</si>
  <si>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</si>
  <si>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</si>
  <si>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</si>
  <si>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</si>
  <si>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</si>
  <si>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</si>
  <si>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</si>
  <si>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</si>
  <si>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</si>
  <si>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</si>
  <si>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</si>
  <si>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</si>
  <si>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</si>
  <si>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</si>
  <si>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</si>
  <si>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</si>
  <si>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</si>
  <si>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</si>
  <si>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</si>
  <si>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</si>
  <si>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</si>
  <si>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</si>
  <si>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</si>
  <si>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</si>
  <si>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</si>
  <si>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</si>
  <si>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</si>
  <si>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</si>
  <si>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</si>
  <si>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</si>
  <si>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</si>
  <si>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</si>
  <si>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</si>
  <si>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</si>
  <si>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</si>
  <si>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</si>
  <si>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</si>
  <si>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</si>
  <si>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</si>
  <si>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</si>
  <si>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</si>
  <si>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</si>
  <si>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</si>
  <si>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</si>
  <si>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</si>
  <si>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</si>
  <si>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</si>
  <si>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</si>
  <si>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</si>
  <si>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</si>
  <si>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</si>
  <si>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</si>
  <si>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</si>
  <si>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</si>
  <si>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</si>
  <si>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</si>
  <si>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</si>
  <si>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</si>
  <si>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</si>
  <si>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</si>
  <si>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</si>
  <si>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</si>
  <si>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</si>
  <si>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</si>
  <si>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</si>
  <si>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</si>
  <si>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</si>
  <si>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</si>
  <si>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</si>
  <si>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</si>
  <si>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</si>
  <si>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</si>
  <si>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</si>
  <si>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</si>
  <si>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</si>
  <si>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</si>
  <si>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</si>
  <si>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</si>
  <si>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</si>
  <si>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</si>
  <si>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</si>
  <si>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</si>
  <si>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</si>
  <si>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</si>
  <si>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</si>
  <si>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</si>
  <si>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</si>
  <si>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</si>
  <si>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</si>
  <si>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</si>
  <si>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</si>
  <si>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</si>
  <si>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</si>
  <si>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</si>
  <si>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</si>
  <si>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</si>
  <si>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</si>
  <si>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</si>
  <si>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</si>
  <si>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</si>
  <si>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</si>
  <si>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</si>
  <si>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</si>
  <si>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</si>
  <si>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</si>
  <si>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</si>
  <si>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</si>
  <si>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</si>
  <si>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</si>
  <si>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</si>
  <si>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</si>
  <si>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</si>
  <si>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</si>
  <si>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</si>
  <si>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</si>
  <si>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</si>
  <si>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</si>
  <si>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</si>
  <si>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</si>
  <si>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</si>
  <si>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</si>
  <si>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</si>
  <si>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</si>
  <si>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</si>
  <si>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</si>
  <si>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</si>
  <si>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</si>
  <si>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</si>
  <si>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</si>
  <si>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</si>
  <si>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</si>
  <si>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</si>
  <si>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</si>
  <si>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</si>
  <si>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</si>
  <si>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</si>
  <si>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</si>
  <si>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</si>
  <si>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</si>
  <si>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</si>
  <si>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</si>
  <si>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</si>
  <si>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</si>
  <si>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</si>
  <si>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</si>
  <si>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</si>
  <si>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</si>
  <si>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</si>
  <si>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</si>
  <si>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</si>
  <si>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</si>
  <si>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</si>
  <si>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</si>
  <si>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</si>
  <si>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</si>
  <si>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</si>
  <si>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</si>
  <si>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</si>
  <si>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</si>
  <si>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</si>
  <si>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</si>
  <si>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</si>
  <si>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</si>
  <si>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</si>
  <si>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</si>
  <si>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</si>
  <si>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</si>
  <si>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</si>
  <si>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</si>
  <si>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</si>
  <si>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</si>
  <si>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</si>
  <si>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</si>
  <si>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</si>
  <si>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</si>
  <si>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</si>
  <si>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</si>
  <si>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</si>
  <si>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</si>
  <si>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</si>
  <si>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</si>
  <si>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</si>
  <si>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</si>
  <si>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</si>
  <si>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</si>
  <si>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</si>
  <si>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</si>
  <si>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</si>
  <si>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</si>
  <si>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</si>
  <si>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</si>
  <si>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</si>
  <si>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</si>
  <si>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</si>
  <si>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</si>
  <si>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</si>
  <si>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</si>
  <si>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</si>
  <si>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</si>
  <si>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</si>
  <si>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</si>
  <si>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</si>
  <si>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</si>
  <si>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</si>
  <si>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</si>
  <si>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</si>
  <si>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</si>
  <si>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</si>
  <si>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</si>
  <si>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</si>
  <si>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</si>
  <si>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</si>
  <si>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</si>
  <si>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</si>
  <si>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</si>
  <si>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</si>
  <si>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</si>
  <si>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</si>
  <si>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</si>
  <si>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</si>
  <si>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</si>
  <si>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</si>
  <si>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</si>
  <si>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</si>
  <si>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</si>
  <si>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</si>
  <si>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</si>
  <si>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</si>
  <si>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</si>
  <si>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</si>
  <si>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</si>
  <si>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</si>
  <si>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</si>
  <si>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</si>
  <si>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</si>
  <si>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</si>
  <si>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</si>
  <si>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</si>
  <si>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</si>
  <si>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</si>
  <si>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</si>
  <si>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</si>
  <si>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</si>
  <si>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</si>
  <si>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</si>
  <si>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</si>
  <si>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</si>
  <si>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</si>
  <si>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</si>
  <si>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</si>
  <si>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</si>
  <si>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</si>
  <si>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</si>
  <si>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</si>
  <si>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</si>
  <si>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</si>
  <si>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</si>
  <si>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</si>
  <si>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</si>
  <si>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</si>
  <si>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</si>
  <si>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</si>
  <si>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</si>
  <si>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</si>
  <si>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</si>
  <si>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</si>
  <si>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</si>
  <si>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</si>
  <si>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</si>
  <si>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</si>
  <si>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</si>
  <si>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</si>
  <si>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</si>
  <si>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</si>
  <si>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</si>
  <si>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</si>
  <si>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</si>
  <si>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</si>
  <si>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</si>
  <si>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</si>
  <si>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</si>
  <si>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</si>
  <si>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</si>
  <si>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</si>
  <si>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</si>
  <si>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</si>
  <si>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</si>
  <si>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</si>
  <si>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</si>
  <si>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</si>
  <si>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</si>
  <si>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</si>
  <si>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</si>
  <si>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</si>
  <si>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</si>
  <si>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</si>
  <si>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</si>
  <si>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</si>
  <si>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</si>
  <si>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</si>
  <si>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</si>
  <si>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</si>
  <si>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</si>
  <si>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</si>
  <si>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</si>
  <si>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</si>
  <si>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</si>
  <si>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</si>
  <si>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</si>
  <si>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</si>
  <si>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</si>
  <si>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</si>
  <si>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</si>
  <si>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</si>
  <si>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</si>
  <si>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</si>
  <si>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</si>
  <si>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</si>
  <si>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</si>
  <si>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</si>
  <si>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</si>
  <si>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</si>
  <si>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</si>
  <si>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</si>
  <si>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</si>
  <si>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</si>
  <si>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</si>
  <si>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</si>
  <si>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</si>
  <si>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</si>
  <si>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</si>
  <si>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</si>
  <si>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</si>
  <si>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</si>
  <si>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</si>
  <si>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</si>
  <si>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</si>
  <si>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</si>
  <si>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</si>
  <si>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</si>
  <si>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</si>
  <si>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</si>
  <si>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</si>
  <si>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</si>
  <si>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</si>
  <si>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</si>
  <si>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</si>
  <si>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</si>
  <si>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</si>
  <si>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</si>
  <si>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</si>
  <si>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</si>
  <si>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</si>
  <si>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</si>
  <si>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</si>
  <si>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</si>
  <si>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</si>
  <si>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</si>
  <si>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</si>
  <si>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</si>
  <si>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</si>
  <si>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</si>
  <si>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</si>
  <si>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</si>
  <si>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</si>
  <si>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</si>
  <si>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</si>
  <si>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</si>
  <si>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</si>
  <si>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</si>
  <si>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</si>
  <si>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</si>
  <si>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</si>
  <si>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</si>
  <si>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</si>
  <si>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</si>
  <si>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</si>
  <si>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</si>
  <si>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</si>
  <si>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</si>
  <si>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</si>
  <si>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</si>
  <si>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</si>
  <si>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</si>
  <si>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</si>
  <si>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</si>
  <si>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</si>
  <si>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</si>
  <si>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</si>
  <si>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</si>
  <si>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</si>
  <si>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</si>
  <si>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</si>
  <si>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</si>
  <si>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</si>
  <si>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</si>
  <si>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</si>
  <si>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</si>
  <si>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</si>
  <si>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</si>
  <si>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</si>
  <si>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</si>
  <si>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</si>
  <si>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</si>
  <si>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</si>
  <si>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</si>
  <si>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</si>
  <si>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</si>
  <si>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</si>
  <si>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</si>
  <si>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</si>
  <si>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</si>
  <si>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</si>
  <si>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</si>
  <si>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</si>
  <si>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</si>
  <si>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</si>
  <si>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</si>
  <si>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</si>
  <si>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</si>
  <si>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</si>
  <si>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</si>
  <si>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</si>
  <si>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</si>
  <si>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</si>
  <si>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</si>
  <si>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</si>
  <si>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</si>
  <si>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</si>
  <si>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</si>
  <si>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</si>
  <si>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</si>
  <si>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</si>
  <si>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</si>
  <si>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</si>
  <si>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</si>
  <si>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</si>
  <si>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</si>
  <si>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</si>
  <si>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</si>
  <si>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</si>
  <si>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</si>
  <si>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</si>
  <si>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</si>
  <si>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</si>
  <si>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</si>
  <si>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</si>
  <si>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</si>
  <si>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</si>
  <si>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</si>
  <si>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</si>
  <si>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</si>
  <si>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</si>
  <si>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</si>
  <si>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</si>
  <si>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</si>
  <si>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</si>
  <si>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</si>
  <si>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</si>
  <si>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</si>
  <si>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</si>
  <si>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</si>
  <si>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</si>
  <si>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</si>
  <si>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</si>
  <si>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</si>
  <si>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</si>
  <si>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</si>
  <si>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</si>
  <si>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</si>
  <si>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</si>
  <si>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</si>
  <si>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</si>
  <si>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</si>
  <si>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</si>
  <si>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</si>
  <si>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</si>
  <si>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</si>
  <si>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</si>
  <si>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</si>
  <si>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</si>
  <si>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</si>
  <si>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</si>
  <si>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</si>
  <si>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</si>
  <si>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</si>
  <si>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</si>
  <si>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</si>
  <si>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</si>
  <si>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</si>
  <si>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</si>
  <si>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</si>
  <si>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</si>
  <si>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</si>
  <si>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</si>
  <si>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</si>
  <si>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</si>
  <si>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</si>
  <si>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</si>
  <si>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</si>
  <si>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</si>
  <si>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</si>
  <si>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</si>
  <si>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</si>
  <si>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</si>
  <si>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</si>
  <si>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</si>
  <si>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</si>
  <si>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</si>
  <si>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</si>
  <si>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</si>
  <si>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</si>
  <si>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</si>
  <si>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</si>
  <si>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</si>
  <si>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</si>
  <si>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</si>
  <si>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</si>
  <si>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</si>
  <si>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</si>
  <si>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</si>
  <si>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</si>
  <si>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</si>
  <si>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</si>
  <si>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</si>
  <si>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</si>
  <si>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</si>
  <si>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</si>
  <si>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</si>
  <si>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</si>
  <si>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</si>
  <si>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</si>
  <si>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</si>
  <si>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</si>
  <si>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</si>
  <si>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</si>
  <si>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</si>
  <si>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</si>
  <si>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</si>
  <si>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</si>
  <si>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</si>
  <si>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</si>
  <si>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</si>
  <si>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</si>
  <si>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</si>
  <si>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</si>
  <si>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</si>
  <si>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</si>
  <si>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</si>
  <si>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</si>
  <si>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</si>
  <si>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</si>
  <si>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</si>
  <si>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</si>
  <si>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</si>
  <si>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</si>
  <si>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</si>
  <si>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</si>
  <si>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</si>
  <si>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</si>
  <si>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</si>
  <si>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</si>
  <si>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</si>
  <si>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</si>
  <si>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</si>
  <si>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</si>
  <si>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</si>
  <si>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</si>
  <si>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</si>
  <si>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</si>
  <si>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</si>
  <si>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</si>
  <si>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</si>
  <si>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</si>
  <si>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</si>
  <si>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</si>
  <si>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</si>
  <si>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</si>
  <si>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</si>
  <si>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</si>
  <si>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</si>
  <si>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</si>
  <si>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</si>
  <si>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</si>
  <si>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</si>
  <si>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</si>
  <si>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</si>
  <si>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</si>
  <si>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</si>
  <si>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</si>
  <si>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</si>
  <si>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</si>
  <si>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</si>
  <si>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</si>
  <si>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</si>
  <si>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</si>
  <si>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</si>
  <si>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</si>
  <si>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</si>
  <si>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</si>
  <si>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</si>
  <si>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</si>
  <si>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</si>
  <si>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</si>
  <si>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</si>
  <si>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</si>
  <si>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</si>
  <si>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</si>
  <si>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</si>
  <si>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</si>
  <si>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</si>
  <si>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</si>
  <si>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</si>
  <si>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</si>
  <si>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</si>
  <si>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</si>
  <si>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</si>
  <si>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</si>
  <si>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</si>
  <si>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</si>
  <si>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</si>
  <si>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</si>
  <si>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</si>
  <si>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</si>
  <si>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</si>
  <si>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</si>
  <si>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</si>
  <si>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</si>
  <si>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</si>
  <si>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</si>
  <si>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</si>
  <si>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</si>
  <si>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</si>
  <si>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</si>
  <si>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</si>
  <si>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</si>
  <si>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</si>
  <si>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</si>
  <si>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</si>
  <si>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</si>
  <si>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</si>
  <si>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</si>
  <si>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</si>
  <si>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</si>
  <si>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</si>
  <si>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</si>
  <si>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</si>
  <si>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</si>
  <si>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</si>
  <si>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</si>
  <si>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</si>
  <si>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</si>
  <si>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</si>
  <si>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</si>
  <si>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</si>
  <si>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</si>
  <si>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</si>
  <si>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</si>
  <si>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</si>
  <si>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</si>
  <si>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</si>
  <si>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</si>
  <si>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</si>
  <si>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</si>
  <si>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</si>
  <si>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</si>
  <si>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</si>
  <si>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</si>
  <si>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</si>
  <si>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</si>
  <si>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</si>
  <si>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</si>
  <si>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</si>
  <si>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</si>
  <si>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</si>
  <si>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</si>
  <si>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</si>
  <si>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</si>
  <si>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</si>
  <si>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</si>
  <si>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</si>
  <si>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</si>
  <si>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</si>
  <si>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</si>
  <si>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</si>
  <si>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</si>
  <si>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</si>
  <si>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</si>
  <si>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</si>
  <si>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</si>
  <si>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</si>
  <si>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</si>
  <si>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</si>
  <si>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</si>
  <si>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</si>
  <si>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</si>
  <si>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</si>
  <si>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</si>
  <si>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</si>
  <si>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</si>
  <si>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</si>
  <si>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</si>
  <si>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</si>
  <si>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</si>
  <si>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</si>
  <si>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</si>
  <si>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</si>
  <si>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</si>
  <si>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</si>
  <si>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</si>
  <si>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</si>
  <si>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</si>
  <si>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</si>
  <si>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</si>
  <si>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</si>
  <si>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</si>
  <si>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</si>
  <si>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</si>
  <si>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</si>
  <si>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</si>
  <si>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</si>
  <si>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</si>
  <si>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</si>
  <si>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</si>
  <si>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</si>
  <si>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</si>
  <si>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</si>
  <si>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</si>
  <si>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</si>
  <si>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</si>
  <si>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</si>
  <si>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</si>
  <si>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</si>
  <si>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</si>
  <si>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</si>
  <si>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</si>
  <si>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</si>
  <si>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</si>
  <si>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</si>
  <si>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</si>
  <si>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</si>
  <si>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</si>
  <si>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</si>
  <si>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</si>
  <si>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</si>
  <si>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</si>
  <si>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</si>
  <si>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</si>
  <si>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</si>
  <si>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</si>
  <si>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</si>
  <si>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</si>
  <si>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</si>
  <si>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</si>
  <si>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</si>
  <si>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</si>
  <si>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</si>
  <si>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</si>
  <si>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</si>
  <si>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</si>
  <si>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</si>
  <si>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</si>
  <si>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</si>
  <si>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</si>
  <si>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</si>
  <si>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</si>
  <si>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</si>
  <si>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</si>
  <si>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</si>
  <si>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</si>
  <si>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</si>
  <si>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</si>
  <si>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</si>
  <si>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</si>
  <si>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</si>
  <si>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</si>
  <si>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</si>
  <si>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</si>
  <si>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</si>
  <si>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</si>
  <si>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</si>
  <si>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</si>
  <si>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</si>
  <si>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</si>
  <si>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</si>
  <si>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</si>
  <si>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</si>
  <si>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</si>
  <si>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</si>
  <si>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</si>
  <si>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</si>
  <si>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</si>
  <si>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</si>
  <si>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</si>
  <si>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</si>
  <si>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</si>
  <si>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</si>
  <si>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</si>
  <si>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</si>
  <si>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</si>
  <si>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</si>
  <si>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</si>
  <si>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</si>
  <si>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</si>
  <si>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</si>
  <si>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</si>
  <si>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</si>
  <si>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</si>
  <si>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</si>
  <si>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</si>
  <si>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</si>
  <si>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</si>
  <si>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</si>
  <si>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</si>
  <si>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</si>
  <si>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</si>
  <si>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</si>
  <si>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</si>
  <si>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</si>
  <si>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</si>
  <si>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</si>
  <si>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</si>
  <si>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</si>
  <si>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</si>
  <si>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</si>
  <si>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</si>
  <si>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</si>
  <si>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</si>
  <si>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</si>
  <si>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</si>
  <si>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</si>
  <si>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</si>
  <si>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</si>
  <si>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</si>
  <si>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</si>
  <si>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</si>
  <si>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</si>
  <si>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</si>
  <si>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</si>
  <si>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</si>
  <si>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</si>
  <si>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</si>
  <si>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</si>
  <si>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</si>
  <si>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</si>
  <si>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</si>
  <si>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</si>
  <si>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</si>
  <si>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</si>
  <si>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</si>
  <si>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</si>
  <si>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</si>
  <si>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</si>
  <si>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</si>
  <si>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</si>
  <si>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</si>
  <si>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</si>
  <si>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</si>
  <si>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</si>
  <si>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</si>
  <si>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</si>
  <si>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</si>
  <si>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</si>
  <si>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</si>
  <si>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</si>
  <si>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</si>
  <si>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</si>
  <si>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</si>
  <si>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</si>
  <si>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</si>
  <si>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</si>
  <si>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</si>
  <si>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</si>
  <si>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</si>
  <si>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</si>
  <si>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</si>
  <si>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</si>
  <si>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</si>
  <si>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</si>
  <si>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</si>
  <si>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</si>
  <si>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</si>
  <si>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</si>
  <si>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</si>
  <si>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</si>
  <si>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</si>
  <si>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</si>
  <si>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</si>
  <si>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</si>
  <si>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</si>
  <si>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</si>
  <si>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</si>
  <si>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</si>
  <si>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</si>
  <si>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</si>
  <si>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</si>
  <si>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</si>
  <si>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</si>
  <si>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</si>
  <si>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</si>
  <si>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</si>
  <si>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</si>
  <si>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</si>
  <si>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</si>
  <si>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</si>
  <si>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</si>
  <si>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</si>
  <si>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</si>
  <si>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</si>
  <si>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</si>
  <si>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</si>
  <si>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</si>
  <si>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</si>
  <si>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</si>
  <si>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</si>
  <si>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</si>
  <si>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</si>
  <si>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</si>
  <si>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</si>
  <si>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</si>
  <si>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</si>
  <si>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</si>
  <si>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</si>
  <si>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</si>
  <si>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</si>
  <si>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</si>
  <si>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</si>
  <si>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</si>
  <si>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</si>
  <si>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</si>
  <si>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</si>
  <si>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</si>
  <si>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</si>
  <si>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</si>
  <si>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</si>
  <si>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</si>
  <si>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</si>
  <si>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</si>
  <si>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</si>
  <si>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</si>
  <si>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</si>
  <si>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</si>
  <si>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</si>
  <si>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</si>
  <si>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</si>
  <si>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</si>
  <si>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</si>
  <si>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</si>
  <si>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</si>
  <si>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</si>
  <si>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</si>
  <si>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</si>
  <si>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</si>
  <si>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</si>
  <si>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</si>
  <si>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</si>
  <si>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</si>
  <si>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</si>
  <si>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</si>
  <si>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</si>
  <si>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</si>
  <si>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</si>
  <si>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</si>
  <si>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</si>
  <si>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</si>
  <si>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</si>
  <si>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</si>
  <si>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</si>
  <si>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</si>
  <si>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</si>
  <si>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</si>
  <si>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</si>
  <si>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</si>
  <si>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</si>
  <si>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</si>
  <si>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</si>
  <si>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</si>
  <si>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</si>
  <si>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</si>
  <si>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</si>
  <si>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</si>
  <si>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</si>
  <si>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</si>
  <si>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</si>
  <si>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</si>
  <si>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</si>
  <si>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</si>
  <si>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</si>
  <si>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</si>
  <si>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</si>
  <si>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</si>
  <si>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</si>
  <si>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</si>
  <si>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</si>
  <si>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</si>
  <si>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</si>
  <si>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</si>
  <si>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</si>
  <si>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</si>
  <si>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</si>
  <si>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</si>
  <si>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</si>
  <si>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</si>
  <si>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</si>
  <si>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</si>
  <si>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</si>
  <si>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</si>
  <si>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</si>
  <si>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</si>
  <si>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</si>
  <si>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</si>
  <si>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</si>
  <si>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</si>
  <si>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</si>
  <si>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</si>
  <si>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</si>
  <si>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</si>
  <si>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</si>
  <si>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</si>
  <si>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</si>
  <si>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</si>
  <si>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</si>
  <si>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</si>
  <si>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</si>
  <si>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</si>
  <si>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</si>
  <si>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</si>
  <si>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</si>
  <si>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</si>
  <si>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</si>
  <si>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</si>
  <si>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</si>
  <si>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</si>
  <si>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</si>
  <si>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</si>
  <si>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</si>
  <si>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</si>
  <si>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</si>
  <si>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</si>
  <si>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</si>
  <si>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</si>
  <si>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</si>
  <si>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</si>
  <si>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</si>
  <si>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</si>
  <si>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</si>
  <si>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</si>
  <si>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</si>
  <si>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</si>
  <si>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</si>
  <si>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</si>
  <si>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</si>
  <si>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</si>
  <si>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</si>
  <si>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</si>
  <si>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</si>
  <si>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</si>
  <si>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</si>
  <si>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</si>
  <si>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</si>
  <si>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</si>
  <si>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</si>
  <si>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</si>
  <si>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</si>
  <si>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</si>
  <si>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</si>
  <si>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</si>
  <si>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</si>
  <si>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</si>
  <si>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</si>
  <si>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</si>
  <si>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</si>
  <si>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</si>
  <si>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</si>
  <si>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</si>
  <si>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</si>
  <si>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</si>
  <si>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</si>
  <si>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</si>
  <si>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</si>
  <si>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</si>
  <si>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</si>
  <si>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</si>
  <si>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</si>
  <si>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</si>
  <si>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</si>
  <si>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</si>
  <si>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</si>
  <si>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</si>
  <si>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</si>
  <si>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</si>
  <si>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</si>
  <si>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</si>
  <si>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</si>
  <si>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</si>
  <si>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</si>
  <si>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</si>
  <si>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</si>
  <si>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</si>
  <si>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</si>
  <si>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</si>
  <si>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</si>
  <si>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</si>
  <si>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</si>
  <si>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</si>
  <si>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</si>
  <si>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</si>
  <si>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</si>
  <si>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</si>
  <si>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</si>
  <si>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</si>
  <si>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</si>
  <si>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</si>
  <si>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</si>
  <si>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</si>
  <si>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</si>
  <si>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</si>
  <si>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</si>
  <si>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</si>
  <si>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</si>
  <si>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</si>
  <si>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</si>
  <si>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</si>
  <si>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</si>
  <si>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</si>
  <si>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</si>
  <si>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</si>
  <si>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</si>
  <si>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</si>
  <si>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</si>
  <si>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</si>
  <si>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</si>
  <si>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</si>
  <si>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</si>
  <si>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</si>
  <si>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</si>
  <si>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</si>
  <si>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</si>
  <si>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</si>
  <si>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</si>
  <si>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</si>
  <si>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</si>
  <si>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</si>
  <si>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</si>
  <si>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</si>
  <si>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</si>
  <si>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</si>
  <si>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</si>
  <si>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</si>
  <si>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</si>
  <si>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</si>
  <si>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</si>
  <si>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</si>
  <si>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</si>
  <si>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</si>
  <si>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</si>
  <si>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</si>
  <si>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</si>
  <si>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</si>
  <si>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</si>
  <si>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</si>
  <si>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</si>
  <si>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</si>
  <si>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</si>
  <si>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</si>
  <si>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</si>
  <si>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</si>
  <si>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</si>
  <si>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</si>
  <si>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</si>
  <si>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</si>
  <si>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</si>
  <si>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</si>
  <si>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</si>
  <si>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</si>
  <si>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</si>
  <si>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</si>
  <si>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</si>
  <si>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</si>
  <si>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</si>
  <si>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</si>
  <si>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</si>
  <si>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</si>
  <si>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</si>
  <si>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</si>
  <si>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</si>
  <si>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</si>
  <si>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</si>
  <si>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</si>
  <si>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</si>
  <si>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</si>
  <si>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</si>
  <si>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</si>
  <si>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</si>
  <si>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</si>
  <si>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</si>
  <si>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</si>
  <si>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</si>
  <si>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</si>
  <si>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</si>
  <si>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</si>
  <si>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</si>
  <si>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</si>
  <si>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</si>
  <si>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</si>
  <si>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</si>
  <si>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</si>
  <si>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</si>
  <si>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</si>
  <si>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</si>
  <si>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</si>
  <si>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</si>
  <si>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</si>
  <si>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</si>
  <si>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</si>
  <si>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</si>
  <si>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</si>
  <si>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</si>
  <si>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</si>
  <si>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</si>
  <si>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</si>
  <si>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</si>
  <si>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</si>
  <si>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</si>
  <si>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</si>
  <si>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</si>
  <si>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</si>
  <si>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</si>
  <si>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</si>
  <si>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</si>
  <si>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</si>
  <si>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</si>
  <si>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</si>
  <si>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</si>
  <si>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</si>
  <si>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</si>
  <si>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</si>
  <si>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</si>
  <si>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</si>
  <si>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</si>
  <si>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</si>
  <si>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</si>
  <si>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</si>
  <si>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</si>
  <si>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</si>
  <si>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</si>
  <si>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</si>
  <si>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</si>
  <si>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</si>
  <si>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</si>
  <si>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</si>
  <si>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</si>
  <si>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</si>
  <si>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</si>
  <si>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</si>
  <si>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</si>
  <si>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</si>
  <si>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</si>
  <si>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</si>
  <si>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</si>
  <si>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</si>
  <si>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</si>
  <si>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</si>
  <si>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</si>
  <si>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</si>
  <si>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</si>
  <si>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</si>
  <si>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</si>
  <si>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</si>
  <si>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</si>
  <si>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</si>
  <si>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</si>
  <si>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</si>
  <si>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</si>
  <si>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</si>
  <si>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</si>
  <si>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</si>
  <si>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</si>
  <si>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</si>
  <si>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</si>
  <si>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</si>
  <si>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</si>
  <si>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</si>
  <si>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</si>
  <si>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</si>
  <si>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</si>
  <si>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</si>
  <si>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</si>
  <si>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</si>
  <si>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</si>
  <si>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</si>
  <si>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</si>
  <si>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</si>
  <si>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</si>
  <si>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</si>
  <si>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</si>
  <si>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</si>
  <si>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</si>
  <si>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</si>
  <si>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</si>
  <si>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</si>
  <si>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</si>
  <si>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</si>
  <si>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</si>
  <si>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</si>
  <si>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</si>
  <si>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</si>
  <si>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</si>
  <si>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</si>
  <si>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</si>
  <si>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</si>
  <si>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</si>
  <si>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</si>
  <si>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</si>
  <si>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</si>
  <si>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</si>
  <si>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</si>
  <si>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</si>
  <si>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</si>
  <si>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</si>
  <si>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</si>
  <si>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</si>
  <si>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</si>
  <si>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</si>
  <si>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</si>
  <si>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</si>
  <si>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</si>
  <si>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</si>
  <si>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</si>
  <si>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</si>
  <si>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</si>
  <si>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</si>
  <si>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</si>
  <si>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</si>
  <si>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</si>
  <si>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</si>
  <si>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</si>
  <si>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</si>
  <si>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</si>
  <si>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</si>
  <si>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</si>
  <si>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</si>
  <si>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</si>
  <si>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</si>
  <si>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</si>
  <si>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</si>
  <si>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</si>
  <si>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</si>
  <si>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</si>
  <si>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</si>
  <si>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</si>
  <si>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</si>
  <si>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</si>
  <si>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</si>
  <si>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</si>
  <si>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</si>
  <si>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</si>
  <si>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</si>
  <si>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</si>
  <si>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</si>
  <si>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</si>
  <si>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</si>
  <si>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</si>
  <si>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</si>
  <si>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</si>
  <si>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</si>
  <si>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</si>
  <si>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</si>
  <si>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</si>
  <si>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</si>
  <si>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</si>
  <si>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</si>
  <si>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</si>
  <si>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</si>
  <si>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</si>
  <si>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</si>
  <si>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</si>
  <si>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</si>
  <si>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</si>
  <si>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</si>
  <si>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</si>
  <si>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</si>
  <si>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</si>
  <si>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</si>
  <si>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</si>
  <si>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</si>
  <si>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</si>
  <si>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</si>
  <si>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</si>
  <si>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</si>
  <si>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</si>
  <si>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</si>
  <si>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</si>
  <si>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</si>
  <si>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</si>
  <si>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</si>
  <si>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</si>
  <si>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</si>
  <si>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</si>
  <si>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</si>
  <si>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</si>
  <si>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</si>
  <si>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</si>
  <si>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</si>
  <si>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</si>
  <si>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</si>
  <si>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</si>
  <si>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</si>
  <si>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</si>
  <si>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</si>
  <si>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</si>
  <si>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</si>
  <si>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</si>
  <si>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</si>
  <si>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</si>
  <si>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</si>
  <si>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</si>
  <si>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</si>
  <si>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</si>
  <si>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</si>
  <si>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</si>
  <si>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</si>
  <si>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</si>
  <si>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</si>
  <si>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</si>
  <si>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</si>
  <si>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</si>
  <si>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</si>
  <si>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</si>
  <si>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</si>
  <si>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</si>
  <si>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</si>
  <si>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</si>
  <si>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</si>
  <si>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</si>
  <si>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</si>
  <si>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</si>
  <si>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</si>
  <si>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</si>
  <si>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</si>
  <si>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</si>
  <si>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</si>
  <si>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</si>
  <si>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</si>
  <si>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</si>
  <si>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</si>
  <si>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</si>
  <si>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</si>
  <si>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</si>
  <si>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</si>
  <si>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</si>
  <si>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</si>
  <si>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</si>
  <si>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</si>
  <si>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</si>
  <si>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</si>
  <si>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</si>
  <si>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</si>
  <si>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</si>
  <si>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</si>
  <si>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</si>
  <si>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</si>
  <si>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</si>
  <si>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</si>
  <si>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</si>
  <si>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</si>
  <si>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</si>
  <si>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</si>
  <si>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</si>
  <si>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</si>
  <si>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</si>
  <si>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</si>
  <si>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</si>
  <si>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</si>
  <si>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</si>
  <si>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</si>
  <si>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</si>
  <si>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</si>
  <si>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</si>
  <si>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</si>
  <si>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</si>
  <si>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</si>
  <si>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</si>
  <si>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</si>
  <si>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</si>
  <si>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</si>
  <si>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</si>
  <si>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</si>
  <si>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</si>
  <si>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</si>
  <si>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</si>
  <si>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</si>
  <si>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</si>
  <si>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</si>
  <si>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</si>
  <si>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</si>
  <si>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</si>
  <si>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</si>
  <si>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</si>
  <si>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</si>
  <si>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</si>
  <si>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</si>
  <si>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</si>
  <si>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</si>
  <si>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</si>
  <si>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</si>
  <si>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</si>
  <si>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</si>
  <si>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</si>
  <si>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</si>
  <si>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</si>
  <si>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</si>
  <si>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</si>
  <si>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</si>
  <si>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</si>
  <si>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</si>
  <si>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</si>
  <si>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</si>
  <si>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</si>
  <si>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</si>
  <si>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</si>
  <si>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</si>
  <si>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</si>
  <si>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</si>
  <si>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</si>
  <si>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</si>
  <si>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</si>
  <si>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</si>
  <si>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</si>
  <si>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</si>
  <si>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</si>
  <si>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</si>
  <si>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</si>
  <si>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</si>
  <si>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</si>
  <si>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</si>
  <si>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</si>
  <si>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</si>
  <si>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</si>
  <si>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</si>
  <si>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</si>
  <si>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</si>
  <si>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</si>
  <si>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</si>
  <si>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</si>
  <si>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</si>
  <si>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</si>
  <si>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</si>
  <si>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</si>
  <si>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</si>
  <si>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</si>
  <si>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</si>
  <si>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</si>
  <si>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</si>
  <si>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</si>
  <si>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</si>
  <si>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</si>
  <si>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</si>
  <si>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</si>
  <si>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</si>
  <si>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</si>
  <si>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</si>
  <si>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</si>
  <si>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</si>
  <si>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</si>
  <si>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</si>
  <si>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</si>
  <si>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</si>
  <si>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</si>
  <si>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</si>
  <si>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</si>
  <si>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</si>
  <si>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</si>
  <si>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</si>
  <si>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</si>
  <si>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</si>
  <si>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</si>
  <si>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</si>
  <si>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</si>
  <si>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</si>
  <si>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</si>
  <si>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</si>
  <si>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</si>
  <si>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</si>
  <si>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</si>
  <si>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</si>
  <si>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</si>
  <si>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</si>
  <si>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</si>
  <si>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</si>
  <si>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</si>
  <si>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</si>
  <si>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</si>
  <si>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</si>
  <si>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</si>
  <si>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</si>
  <si>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</si>
  <si>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</si>
  <si>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</si>
  <si>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</si>
  <si>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</si>
  <si>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</si>
  <si>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</si>
  <si>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</si>
  <si>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</si>
  <si>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</si>
  <si>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</si>
  <si>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</si>
  <si>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</si>
  <si>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</si>
  <si>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</si>
  <si>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</si>
  <si>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</si>
  <si>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</si>
  <si>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</si>
  <si>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</si>
  <si>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</si>
  <si>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</si>
  <si>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</si>
  <si>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</si>
  <si>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</si>
  <si>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</si>
  <si>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</si>
  <si>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</si>
  <si>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</si>
  <si>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</si>
  <si>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</si>
  <si>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</si>
  <si>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</si>
  <si>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</si>
  <si>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</si>
  <si>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</si>
  <si>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</si>
  <si>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</si>
  <si>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</si>
  <si>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</si>
  <si>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</si>
  <si>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</si>
  <si>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</si>
  <si>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</si>
  <si>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</si>
  <si>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</si>
  <si>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</si>
  <si>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</si>
  <si>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</si>
  <si>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</si>
  <si>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</si>
  <si>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</si>
  <si>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</si>
  <si>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</si>
  <si>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</si>
  <si>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</si>
  <si>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</si>
  <si>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</si>
  <si>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</si>
  <si>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</si>
  <si>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</si>
  <si>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</si>
  <si>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</si>
  <si>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</si>
  <si>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</si>
  <si>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</si>
  <si>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</si>
  <si>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</si>
  <si>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</si>
  <si>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</si>
  <si>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</si>
  <si>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</si>
  <si>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</si>
  <si>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</si>
  <si>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</si>
  <si>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</si>
  <si>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</si>
  <si>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</si>
  <si>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</si>
  <si>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</si>
  <si>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</si>
  <si>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</si>
  <si>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</si>
  <si>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</si>
  <si>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</si>
  <si>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</si>
  <si>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</si>
  <si>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</si>
  <si>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</si>
  <si>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</si>
  <si>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</si>
  <si>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</si>
  <si>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</si>
  <si>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</si>
  <si>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</si>
  <si>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</si>
  <si>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</si>
  <si>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</si>
  <si>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</si>
  <si>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</si>
  <si>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</si>
  <si>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</si>
  <si>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</si>
  <si>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</si>
  <si>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</si>
  <si>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</si>
  <si>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</si>
  <si>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</si>
  <si>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</si>
  <si>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</si>
  <si>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</si>
  <si>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</si>
  <si>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</si>
  <si>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</si>
  <si>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</si>
  <si>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</si>
  <si>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</si>
  <si>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</si>
  <si>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</si>
  <si>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</si>
  <si>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</si>
  <si>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</si>
  <si>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</si>
  <si>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</si>
  <si>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</si>
  <si>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</si>
  <si>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</si>
  <si>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</si>
  <si>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</si>
  <si>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</si>
  <si>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</si>
  <si>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</si>
  <si>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</si>
  <si>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</si>
  <si>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</si>
  <si>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</si>
  <si>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</si>
  <si>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</si>
  <si>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</si>
  <si>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</si>
  <si>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</si>
  <si>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</si>
  <si>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</si>
  <si>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</si>
  <si>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</si>
  <si>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</si>
  <si>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</si>
  <si>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</si>
  <si>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</si>
  <si>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</si>
  <si>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</si>
  <si>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</si>
  <si>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</si>
  <si>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</si>
  <si>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</si>
  <si>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</si>
  <si>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</si>
  <si>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</si>
  <si>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</si>
  <si>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</si>
  <si>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</si>
  <si>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</si>
  <si>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</si>
  <si>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</si>
  <si>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</si>
  <si>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</si>
  <si>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</si>
  <si>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</si>
  <si>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</si>
  <si>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</si>
  <si>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</si>
  <si>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</si>
  <si>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</si>
  <si>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</si>
  <si>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</si>
  <si>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</si>
  <si>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</si>
  <si>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</si>
  <si>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</si>
  <si>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</si>
  <si>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</si>
  <si>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</si>
  <si>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</si>
  <si>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</si>
  <si>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</si>
  <si>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</si>
  <si>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</si>
  <si>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</si>
  <si>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</si>
  <si>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</si>
  <si>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</si>
  <si>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</si>
  <si>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</si>
  <si>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</si>
  <si>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</si>
  <si>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</si>
  <si>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</si>
  <si>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</si>
  <si>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</si>
  <si>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</si>
  <si>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</si>
  <si>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</si>
  <si>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</si>
  <si>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</si>
  <si>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</si>
  <si>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</si>
  <si>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</si>
  <si>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</si>
  <si>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</si>
  <si>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</si>
  <si>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</si>
  <si>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</si>
  <si>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</si>
  <si>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</si>
  <si>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</si>
  <si>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</si>
  <si>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</si>
  <si>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</si>
  <si>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</si>
  <si>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</si>
  <si>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</si>
  <si>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</si>
  <si>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</si>
  <si>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</si>
  <si>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</si>
  <si>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</si>
  <si>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</si>
  <si>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</si>
  <si>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</si>
  <si>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</si>
  <si>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</si>
  <si>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</si>
  <si>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</si>
  <si>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GREENE</t>
  </si>
  <si>
    <t>950A THIRD STREET</t>
  </si>
  <si>
    <t>CARROLLTON</t>
  </si>
  <si>
    <t>nwaters@c-hawks.org</t>
  </si>
  <si>
    <t>MR. MARK HALWACHS</t>
  </si>
  <si>
    <t>mhalwachs@c-hawks.org</t>
  </si>
  <si>
    <t>217-942-5314</t>
  </si>
  <si>
    <t>217-942-9259</t>
  </si>
  <si>
    <t>SCHEFFEL BOYLE</t>
  </si>
  <si>
    <t>DANIEL PHIPPS</t>
  </si>
  <si>
    <t>106 W. COUNTY ROAD</t>
  </si>
  <si>
    <t>JERSEYVILLE</t>
  </si>
  <si>
    <t>IL</t>
  </si>
  <si>
    <t>618-498-6841</t>
  </si>
  <si>
    <t>618-498-6842</t>
  </si>
  <si>
    <t>danny.phipps@scheffelboyle.com</t>
  </si>
  <si>
    <t>In addition to the financial statements being prepared on the regulatory, cash basis of accounting, the District has omitted disclosures required by GASB 54.</t>
  </si>
  <si>
    <t>Scheffel Boyle</t>
  </si>
  <si>
    <t>2013 Refunding School Bonds</t>
  </si>
  <si>
    <t>2017 G.O. Alternate Revenue Source Bonds</t>
  </si>
  <si>
    <t>2017 Capital Lease - 6 Buses</t>
  </si>
  <si>
    <t>2019 G.O. School Bonds (Series A)</t>
  </si>
  <si>
    <t>2019 G.O. School Alternate Revenue Source Bonds (Series B)</t>
  </si>
  <si>
    <t>Capital Lease</t>
  </si>
  <si>
    <t>Alternate Revenue Source</t>
  </si>
  <si>
    <t>x</t>
  </si>
  <si>
    <t>Staff Development Association via ROE</t>
  </si>
  <si>
    <t>Shared Speech Therapost with Greenfield CUSD</t>
  </si>
  <si>
    <t>Four Rivers Special Education District</t>
  </si>
  <si>
    <t>Student Transportation to ISVI &amp; Garrison School</t>
  </si>
  <si>
    <t>Dual credit classes offered with LCCC</t>
  </si>
  <si>
    <t>Unknown</t>
  </si>
  <si>
    <t>Financial statement preparation</t>
  </si>
  <si>
    <t>The District relies on auditors to assist with financial statement preparation.</t>
  </si>
  <si>
    <t>The District does not have the personnel or staff with sufficient training or expertise to ensure the District's annual financial statements are prepared in accordance with regulatory provisions prescribed by the Illinois State Board of Education and include all required disclosures.</t>
  </si>
  <si>
    <t>Without relying on Scheffel Boyle for assistance, it is possible the financial statements would be materially misstated or missing required disclosures.</t>
  </si>
  <si>
    <t>The District does not have the personnel or staff with sufficient training or expertise.</t>
  </si>
  <si>
    <t>The District should provide training to its current accounting staff or hire additional resources to allow for proper internal preparation of the financial statements.</t>
  </si>
  <si>
    <t>Compliance finding by ISBE Federal and State Monitoring - Title I Low Income for school year 2017-2018</t>
  </si>
  <si>
    <t>The District did not comply with the requirements for the selection of eligible attendance centers.</t>
  </si>
  <si>
    <t>Budgeted funds to the Carrollton Grade School were overstated by $11,160 while the budgeted funds to the Carrollton High School were understated by $11,160, when compared to the allocated amounts obtained in the IWAS Targeting Step 5 page.</t>
  </si>
  <si>
    <t>The District must allocate resources on the basis of the total number of children from low-income families in each area or school.</t>
  </si>
  <si>
    <t>The District will allocate funds in the future based on the number of children from low-income families at each school.</t>
  </si>
  <si>
    <t>The District did not apply the correct allocation percentages to the total grant.</t>
  </si>
  <si>
    <t>The District relies on auditors to assist with</t>
  </si>
  <si>
    <t>financial statement preparation.</t>
  </si>
  <si>
    <t>See 2019-001</t>
  </si>
  <si>
    <t>2018-001</t>
  </si>
  <si>
    <t>Compliance finding - Expenditures in excess of budgeted amounts</t>
  </si>
  <si>
    <t>The District's Fire, Prevention &amp; Safety Fund disbursements exceeded its budgetary amounts in several funds.</t>
  </si>
  <si>
    <t>Specifically, actual expenditures of $1,713 exceeded the budgeted amount of $0.</t>
  </si>
  <si>
    <t>Unauthorized expenditures</t>
  </si>
  <si>
    <t>The District did not amend their budget to better represent their actual expenditures.</t>
  </si>
  <si>
    <t>The District should amend its annual budget to provide for proper approval of expenditures in all funds.</t>
  </si>
  <si>
    <t>The District will consider amending budgets as necessary goingforward.</t>
  </si>
  <si>
    <t>ED-Support Services-Psycological Services</t>
  </si>
  <si>
    <t>10-2100-300</t>
  </si>
  <si>
    <t>Education - Musical Admissions - $1,660</t>
  </si>
  <si>
    <t>Education - GS Educational Reimbursed Fees - $7,191</t>
  </si>
  <si>
    <t>Education - HS Reimbursed Fees - $634</t>
  </si>
  <si>
    <t>Education - GS Reimbursed Fees &amp; Adgenda Book Sales - $214</t>
  </si>
  <si>
    <t>Education - MS Reimbursements from Activity Funds - $1,094</t>
  </si>
  <si>
    <t>Education - HS Lab Fees - $6,280</t>
  </si>
  <si>
    <t>O &amp; M - Reimbursed Fees - $1,661</t>
  </si>
  <si>
    <t>Education - E-Rate Grant - $4,458</t>
  </si>
  <si>
    <t>Education - Ag 3 Circle Grant Match - $4,195</t>
  </si>
  <si>
    <t>Education - Rebates - $1,053</t>
  </si>
  <si>
    <t>O &amp; M - Sale of scrap materials - $241</t>
  </si>
  <si>
    <t>Transportation - Insurance settlement - $1,128</t>
  </si>
  <si>
    <t>Education - Library Per Capita Grant - $750</t>
  </si>
  <si>
    <t>Education - Title I Homeless Hygiene Supplies - $201</t>
  </si>
  <si>
    <t>Education - ROE Professional Development Instruction - $3,055</t>
  </si>
  <si>
    <t>Per the ISBE Federal and State Monitoring unit, the District failed to properly allocate Title I funds between schools.</t>
  </si>
  <si>
    <t>The District believes their accounting staff maintains adequate books and records of the school's transactions.  At this time, the District does not believe it is cost beneficial to hire additional accounting expertise to ensure the District's annual financial statements are prepared in accordance with the regulatory provisions discussed above.</t>
  </si>
  <si>
    <t>Page 10 Line 78 Admissions - Other</t>
  </si>
  <si>
    <t>Education - HS Reimbursement Account (LCCC Tuition, Testing Fees, Postage, etc.) - $43,446</t>
  </si>
  <si>
    <t>Page 10 Line 81 - Other District/School Activity Revenue</t>
  </si>
  <si>
    <t>Education - Transcript Fees &amp; Miscellaneous - $383</t>
  </si>
  <si>
    <t>Page 11 Line 107 Other Local Revenues</t>
  </si>
  <si>
    <t>Page 12 Line 168 - Other Restricted Revenue from State Sources</t>
  </si>
  <si>
    <t>Page 16 Line 73 - Other Support Services</t>
  </si>
  <si>
    <t>Page 16 Line 83 - Other Payments to In-State Govt Units</t>
  </si>
  <si>
    <t>Page 18 Line 171 - Debt Services - Other</t>
  </si>
  <si>
    <t>Debt Services - Agent Fees $636</t>
  </si>
  <si>
    <t>for the Capital Lease for buses.  The principal amount of the total payment was $53,234.</t>
  </si>
  <si>
    <t xml:space="preserve">Total Long-Term Debt Retired does not equal Debt Service - Long Term Debt Retired due to payment of $66,014 from Transportation Fund </t>
  </si>
  <si>
    <t>Carrollton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</si>
</sst>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103909</xdr:colOff>
          <xdr:row>1</xdr:row>
          <xdr:rowOff>77931</xdr:rowOff>
        </xdr:from>
        <xdr:to>
          <xdr:col>1</xdr:col>
          <xdr:colOff>1015711</xdr:colOff>
          <xdr:row>6</xdr:row>
          <xdr:rowOff>37234</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E5F3F673-73FB-45BB-A8D3-0F3D1BDCD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1099704</xdr:colOff>
          <xdr:row>1</xdr:row>
          <xdr:rowOff>112568</xdr:rowOff>
        </xdr:from>
        <xdr:to>
          <xdr:col>1</xdr:col>
          <xdr:colOff>2011506</xdr:colOff>
          <xdr:row>6</xdr:row>
          <xdr:rowOff>71871</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BBFCF089-7965-4EFD-9CF8-25EAA0F8BC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121228</xdr:colOff>
          <xdr:row>6</xdr:row>
          <xdr:rowOff>147205</xdr:rowOff>
        </xdr:from>
        <xdr:to>
          <xdr:col>1</xdr:col>
          <xdr:colOff>1033030</xdr:colOff>
          <xdr:row>11</xdr:row>
          <xdr:rowOff>106507</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D71D8F0E-1DCE-4194-8A85-AD44694D23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1134342</xdr:colOff>
          <xdr:row>7</xdr:row>
          <xdr:rowOff>25977</xdr:rowOff>
        </xdr:from>
        <xdr:to>
          <xdr:col>1</xdr:col>
          <xdr:colOff>2046144</xdr:colOff>
          <xdr:row>11</xdr:row>
          <xdr:rowOff>149802</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61F76968-5F82-4413-9CA5-830188D47CB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7" t="s">
        <v>405</v>
      </c>
      <c r="J1" s="2018"/>
      <c r="K1" s="2018"/>
      <c r="L1" s="2018"/>
      <c r="M1" s="2018"/>
      <c r="N1" s="2018"/>
      <c r="O1" s="2018"/>
      <c r="P1" s="2018"/>
      <c r="Q1" s="2018"/>
      <c r="R1" s="2018"/>
      <c r="S1" s="2018"/>
    </row>
    <row r="2" spans="1:28" ht="12" customHeight="1" x14ac:dyDescent="0.2">
      <c r="A2" s="47" t="s">
        <v>1993</v>
      </c>
      <c r="D2" s="48"/>
      <c r="I2" s="2019" t="s">
        <v>979</v>
      </c>
      <c r="J2" s="2018"/>
      <c r="K2" s="2018"/>
      <c r="L2" s="2018"/>
      <c r="M2" s="2018"/>
      <c r="N2" s="2018"/>
      <c r="O2" s="2018"/>
      <c r="P2" s="2018"/>
      <c r="Q2" s="2018"/>
      <c r="R2" s="2018"/>
      <c r="S2" s="2018"/>
    </row>
    <row r="3" spans="1:28" ht="12" customHeight="1" x14ac:dyDescent="0.2">
      <c r="A3" s="155" t="s">
        <v>1945</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2064</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2064</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40031001026</v>
      </c>
      <c r="B13" s="1988"/>
      <c r="C13" s="1988"/>
      <c r="D13" s="1988"/>
      <c r="E13" s="1988"/>
      <c r="F13" s="1988"/>
      <c r="G13" s="1988"/>
      <c r="H13" s="1989"/>
      <c r="I13" s="31"/>
      <c r="J13" s="30"/>
      <c r="K13" s="28"/>
      <c r="L13" s="30"/>
      <c r="M13" s="30"/>
      <c r="N13" s="30"/>
      <c r="O13" s="30"/>
      <c r="P13" s="30"/>
      <c r="Q13" s="30"/>
      <c r="R13" s="30"/>
      <c r="S13" s="30"/>
      <c r="T13" s="1992" t="s">
        <v>2073</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2065</v>
      </c>
      <c r="B15" s="1990"/>
      <c r="C15" s="1990"/>
      <c r="D15" s="1990"/>
      <c r="E15" s="1990"/>
      <c r="F15" s="1990"/>
      <c r="G15" s="1990"/>
      <c r="H15" s="1991"/>
      <c r="T15" s="1953" t="s">
        <v>2074</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2151</v>
      </c>
      <c r="B17" s="2015"/>
      <c r="C17" s="2015"/>
      <c r="D17" s="2015"/>
      <c r="E17" s="2015"/>
      <c r="F17" s="2015"/>
      <c r="G17" s="2015"/>
      <c r="H17" s="2016"/>
      <c r="T17" s="2002" t="s">
        <v>2075</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2066</v>
      </c>
      <c r="B19" s="1986"/>
      <c r="C19" s="1986"/>
      <c r="D19" s="1986"/>
      <c r="E19" s="1986"/>
      <c r="F19" s="1986"/>
      <c r="G19" s="1986"/>
      <c r="H19" s="1984"/>
      <c r="I19" s="30"/>
      <c r="J19" s="99"/>
      <c r="K19" s="40"/>
      <c r="L19" s="38"/>
      <c r="M19" s="112" t="s">
        <v>315</v>
      </c>
      <c r="P19" s="27"/>
      <c r="Q19" s="27"/>
      <c r="R19" s="27"/>
      <c r="S19" s="31"/>
      <c r="T19" s="1985" t="s">
        <v>2076</v>
      </c>
      <c r="U19" s="1983"/>
      <c r="V19" s="1983"/>
      <c r="W19" s="1984"/>
      <c r="X19" s="2000" t="s">
        <v>2077</v>
      </c>
      <c r="Y19" s="2001"/>
      <c r="Z19" s="1998">
        <v>62052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2067</v>
      </c>
      <c r="B21" s="1983"/>
      <c r="C21" s="1983"/>
      <c r="D21" s="1983"/>
      <c r="E21" s="1983"/>
      <c r="F21" s="1983"/>
      <c r="G21" s="1983"/>
      <c r="H21" s="1984"/>
      <c r="I21" s="2008" t="s">
        <v>678</v>
      </c>
      <c r="J21" s="1971"/>
      <c r="K21" s="1971"/>
      <c r="L21" s="1971"/>
      <c r="M21" s="1971"/>
      <c r="N21" s="1971"/>
      <c r="O21" s="1971"/>
      <c r="P21" s="1971"/>
      <c r="Q21" s="1971"/>
      <c r="R21" s="1971"/>
      <c r="S21" s="1972"/>
      <c r="T21" s="1950" t="s">
        <v>2078</v>
      </c>
      <c r="U21" s="1951"/>
      <c r="V21" s="1951"/>
      <c r="W21" s="1951"/>
      <c r="X21" s="1964" t="s">
        <v>2079</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t="s">
        <v>2068</v>
      </c>
      <c r="B23" s="2006"/>
      <c r="C23" s="2006"/>
      <c r="D23" s="2006"/>
      <c r="E23" s="2006"/>
      <c r="F23" s="2006"/>
      <c r="G23" s="2006"/>
      <c r="H23" s="2007"/>
      <c r="T23" s="1945">
        <v>65.025899999999993</v>
      </c>
      <c r="U23" s="1946"/>
      <c r="V23" s="1946"/>
      <c r="W23" s="1946"/>
      <c r="X23" s="1961">
        <v>44469</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62016</v>
      </c>
      <c r="B25" s="1983"/>
      <c r="C25" s="1983"/>
      <c r="D25" s="1983"/>
      <c r="E25" s="1983"/>
      <c r="F25" s="1983"/>
      <c r="G25" s="1983"/>
      <c r="H25" s="1984"/>
      <c r="I25" s="113"/>
      <c r="J25" s="2049"/>
      <c r="K25" s="2049"/>
      <c r="L25" s="2049"/>
      <c r="M25" s="2049"/>
      <c r="N25" s="2049"/>
      <c r="O25" s="2049"/>
      <c r="P25" s="2049"/>
      <c r="Q25" s="2049"/>
      <c r="R25" s="2049"/>
      <c r="S25" s="2050"/>
      <c r="T25" s="1942" t="s">
        <v>2080</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2069</v>
      </c>
      <c r="B38" s="2015"/>
      <c r="C38" s="2015"/>
      <c r="D38" s="2015"/>
      <c r="E38" s="2015"/>
      <c r="F38" s="1983"/>
      <c r="G38" s="1983"/>
      <c r="H38" s="1984"/>
      <c r="I38" s="2034"/>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2070</v>
      </c>
      <c r="B40" s="2042"/>
      <c r="C40" s="2043"/>
      <c r="D40" s="2043"/>
      <c r="E40" s="2043"/>
      <c r="F40" s="2044"/>
      <c r="G40" s="2044"/>
      <c r="H40" s="2045"/>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2071</v>
      </c>
      <c r="B42" s="2032"/>
      <c r="C42" s="2033"/>
      <c r="D42" s="2046" t="s">
        <v>2072</v>
      </c>
      <c r="E42" s="2032"/>
      <c r="F42" s="2032"/>
      <c r="G42" s="2032"/>
      <c r="H42" s="2033"/>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25"/>
  <pageSetup scale="75" orientation="landscape" r:id="rId3"/>
  <headerFooter scaleWithDoc="0">
    <oddFooter>&amp;LSee notes to financial statements.&amp;C4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B30" sqref="B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25"/>
  <pageSetup scale="73" firstPageNumber="5" fitToHeight="0" orientation="portrait" r:id="rId4"/>
  <headerFooter scaleWithDoc="0">
    <oddFooter>&amp;LSee notes to financial statements.&amp;C5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1" colorId="8" zoomScale="110" zoomScaleNormal="110" workbookViewId="0">
      <selection activeCell="Q88" sqref="Q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36831</v>
      </c>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t="s">
        <v>2081</v>
      </c>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2082</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6" orientation="portrait" r:id="rId1"/>
  <headerFooter differentFirst="1" scaleWithDoc="0">
    <oddHeader xml:space="preserve">&amp;C </oddHeader>
    <oddFooter>&amp;LSee notes to financial statements.&amp;C7</oddFooter>
    <firstFooter>&amp;LSee notes to financial statements.&amp;C6</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L27" sqref="L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70710874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2.1002699999999999E-2</v>
      </c>
      <c r="E10" s="356" t="s">
        <v>1005</v>
      </c>
      <c r="F10" s="355">
        <v>4.3597999999999996E-3</v>
      </c>
      <c r="G10" s="356" t="s">
        <v>1005</v>
      </c>
      <c r="H10" s="355">
        <v>1.8500000000000001E-3</v>
      </c>
      <c r="I10" s="356" t="s">
        <v>1006</v>
      </c>
      <c r="J10" s="1732">
        <f>ROUND(D10+F10+H10,5)</f>
        <v>2.7210000000000002E-2</v>
      </c>
      <c r="K10" s="222"/>
      <c r="L10" s="355">
        <v>1.4909999999999999E-4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5650960</v>
      </c>
      <c r="E16" s="356"/>
      <c r="F16" s="1733">
        <f>SUM('Acct Summary 7-8'!C17,'Acct Summary 7-8'!D17,'Acct Summary 7-8'!F17)</f>
        <v>5564030</v>
      </c>
      <c r="G16" s="356"/>
      <c r="H16" s="1733">
        <f>SUM(D16-F16)</f>
        <v>86930</v>
      </c>
      <c r="I16" s="222"/>
      <c r="J16" s="1733">
        <f>SUM('Acct Summary 7-8'!C81,'Acct Summary 7-8'!D81,'Acct Summary 7-8'!F81,'Acct Summary 7-8'!I81)</f>
        <v>2035109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9758100.6120000016</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3999005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scaleWithDoc="0">
    <oddFooter>&amp;LSee notes to financial statements.&amp;C8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8" zoomScale="110" zoomScaleNormal="110" workbookViewId="0">
      <selection activeCell="A4" sqref="A4:R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Carrollton CUSD 1</v>
      </c>
      <c r="E7" s="391"/>
      <c r="G7" s="252"/>
      <c r="H7" s="387"/>
      <c r="I7" s="387"/>
      <c r="J7" s="387"/>
      <c r="K7" s="387"/>
      <c r="L7" s="329"/>
      <c r="M7" s="329"/>
      <c r="N7" s="329"/>
      <c r="O7" s="329"/>
      <c r="P7" s="329"/>
    </row>
    <row r="8" spans="1:18" ht="12.75" x14ac:dyDescent="0.2">
      <c r="A8" s="329"/>
      <c r="B8" s="329"/>
      <c r="C8" s="389" t="s">
        <v>1125</v>
      </c>
      <c r="D8" s="392">
        <f>COVER!A13</f>
        <v>40031001026</v>
      </c>
      <c r="E8" s="393"/>
      <c r="G8" s="329"/>
      <c r="H8" s="329"/>
      <c r="I8" s="329"/>
      <c r="J8" s="329"/>
      <c r="K8" s="329"/>
      <c r="L8" s="329"/>
      <c r="M8" s="329"/>
      <c r="N8" s="329"/>
      <c r="O8" s="329"/>
      <c r="P8" s="329"/>
    </row>
    <row r="9" spans="1:18" ht="12.75" x14ac:dyDescent="0.2">
      <c r="A9" s="329"/>
      <c r="B9" s="329"/>
      <c r="C9" s="389" t="s">
        <v>713</v>
      </c>
      <c r="D9" s="394" t="str">
        <f>COVER!A15</f>
        <v>GREENE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2035109</v>
      </c>
      <c r="I12" s="404"/>
      <c r="J12" s="404"/>
      <c r="K12" s="405">
        <f>TRUNC((H12/H13*100000),5)/100000</f>
        <v>0.36013509199999999</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5650960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5564030</v>
      </c>
      <c r="I17" s="404"/>
      <c r="J17" s="416"/>
      <c r="K17" s="405">
        <f>TRUNC((H17/H18*100000),5)/100000</f>
        <v>0.98461677299999995</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5650960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2037194</v>
      </c>
      <c r="I24" s="422"/>
      <c r="J24" s="422"/>
      <c r="K24" s="423">
        <f>TRUNC(((H24/H25*100000)/100000),2)</f>
        <v>131.80000000000001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15455.63889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1635436.4493100001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3999005</v>
      </c>
      <c r="I32" s="420"/>
      <c r="J32" s="420"/>
      <c r="K32" s="423">
        <f>TRUNC(100-((((H32/H33*100))*100)/100),2)</f>
        <v>59.01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9758100.6120000016</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25"/>
  <pageSetup scale="85" firstPageNumber="4" orientation="landscape" useFirstPageNumber="1" r:id="rId3"/>
  <headerFooter scaleWithDoc="0">
    <oddHeader xml:space="preserve">&amp;C </oddHeader>
    <oddFooter>&amp;LSee notes to financial statements&amp;8.&amp;C9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23" activePane="bottomLeft" state="frozen"/>
      <selection activeCell="A4" sqref="A4:F4"/>
      <selection pane="bottomLeft" activeCell="J44" sqref="J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1102040</v>
      </c>
      <c r="D4" s="466">
        <v>249394</v>
      </c>
      <c r="E4" s="466">
        <v>108784</v>
      </c>
      <c r="F4" s="466">
        <v>306870</v>
      </c>
      <c r="G4" s="466">
        <v>33069</v>
      </c>
      <c r="H4" s="466">
        <v>1728165</v>
      </c>
      <c r="I4" s="466">
        <v>16</v>
      </c>
      <c r="J4" s="467">
        <v>47150</v>
      </c>
      <c r="K4" s="466">
        <v>1095283</v>
      </c>
      <c r="L4" s="466">
        <v>120276</v>
      </c>
      <c r="M4" s="468"/>
      <c r="N4" s="469"/>
    </row>
    <row r="5" spans="1:14" x14ac:dyDescent="0.2">
      <c r="A5" s="463" t="s">
        <v>992</v>
      </c>
      <c r="B5" s="470">
        <v>120</v>
      </c>
      <c r="C5" s="465">
        <v>141000</v>
      </c>
      <c r="D5" s="466"/>
      <c r="E5" s="466"/>
      <c r="F5" s="466">
        <v>74086</v>
      </c>
      <c r="G5" s="466"/>
      <c r="H5" s="466"/>
      <c r="I5" s="466">
        <v>163788</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1243040</v>
      </c>
      <c r="D13" s="1737">
        <f t="shared" ref="D13:L13" si="0">SUM(D4:D12)</f>
        <v>249394</v>
      </c>
      <c r="E13" s="1737">
        <f t="shared" si="0"/>
        <v>108784</v>
      </c>
      <c r="F13" s="1737">
        <f t="shared" si="0"/>
        <v>380956</v>
      </c>
      <c r="G13" s="1737">
        <f t="shared" si="0"/>
        <v>33069</v>
      </c>
      <c r="H13" s="1737">
        <f t="shared" si="0"/>
        <v>1728165</v>
      </c>
      <c r="I13" s="1737">
        <f t="shared" si="0"/>
        <v>163804</v>
      </c>
      <c r="J13" s="1737">
        <f t="shared" si="0"/>
        <v>47150</v>
      </c>
      <c r="K13" s="1737">
        <f t="shared" si="0"/>
        <v>1095283</v>
      </c>
      <c r="L13" s="1737">
        <f t="shared" si="0"/>
        <v>120276</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121982</v>
      </c>
      <c r="N16" s="484"/>
    </row>
    <row r="17" spans="1:14" s="485" customFormat="1" ht="12.75" customHeight="1" x14ac:dyDescent="0.2">
      <c r="A17" s="482" t="s">
        <v>1403</v>
      </c>
      <c r="B17" s="483">
        <v>230</v>
      </c>
      <c r="C17" s="477"/>
      <c r="D17" s="477"/>
      <c r="E17" s="477"/>
      <c r="F17" s="477"/>
      <c r="G17" s="477"/>
      <c r="H17" s="477"/>
      <c r="I17" s="477"/>
      <c r="J17" s="477"/>
      <c r="K17" s="477"/>
      <c r="L17" s="477"/>
      <c r="M17" s="467">
        <v>9398671</v>
      </c>
      <c r="N17" s="484"/>
    </row>
    <row r="18" spans="1:14" s="485" customFormat="1" ht="12.75" customHeight="1" x14ac:dyDescent="0.2">
      <c r="A18" s="482" t="s">
        <v>1404</v>
      </c>
      <c r="B18" s="483">
        <v>240</v>
      </c>
      <c r="C18" s="477"/>
      <c r="D18" s="477"/>
      <c r="E18" s="477"/>
      <c r="F18" s="477"/>
      <c r="G18" s="477"/>
      <c r="H18" s="477"/>
      <c r="I18" s="477"/>
      <c r="J18" s="477"/>
      <c r="K18" s="477"/>
      <c r="L18" s="477"/>
      <c r="M18" s="467">
        <v>1845730</v>
      </c>
      <c r="N18" s="484"/>
    </row>
    <row r="19" spans="1:14" s="485" customFormat="1" ht="12.75" customHeight="1" x14ac:dyDescent="0.2">
      <c r="A19" s="482" t="s">
        <v>1405</v>
      </c>
      <c r="B19" s="483">
        <v>250</v>
      </c>
      <c r="C19" s="477"/>
      <c r="D19" s="477"/>
      <c r="E19" s="477"/>
      <c r="F19" s="477"/>
      <c r="G19" s="477"/>
      <c r="H19" s="477"/>
      <c r="I19" s="477"/>
      <c r="J19" s="477"/>
      <c r="K19" s="477"/>
      <c r="L19" s="477"/>
      <c r="M19" s="467">
        <v>3148837</v>
      </c>
      <c r="N19" s="484"/>
    </row>
    <row r="20" spans="1:14" s="485" customFormat="1" ht="12.75" customHeight="1" x14ac:dyDescent="0.2">
      <c r="A20" s="482" t="s">
        <v>1406</v>
      </c>
      <c r="B20" s="483">
        <v>260</v>
      </c>
      <c r="C20" s="477"/>
      <c r="D20" s="477"/>
      <c r="E20" s="477"/>
      <c r="F20" s="477"/>
      <c r="G20" s="477"/>
      <c r="H20" s="477"/>
      <c r="I20" s="477"/>
      <c r="J20" s="477"/>
      <c r="K20" s="477"/>
      <c r="L20" s="477"/>
      <c r="M20" s="467">
        <v>2140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108784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3890221</v>
      </c>
    </row>
    <row r="23" spans="1:14" ht="13.5" customHeight="1" thickBot="1" x14ac:dyDescent="0.25">
      <c r="A23" s="1736" t="s">
        <v>643</v>
      </c>
      <c r="B23" s="1741"/>
      <c r="C23" s="468"/>
      <c r="D23" s="468"/>
      <c r="E23" s="468"/>
      <c r="F23" s="468"/>
      <c r="G23" s="468"/>
      <c r="H23" s="468"/>
      <c r="I23" s="468"/>
      <c r="J23" s="468"/>
      <c r="K23" s="468"/>
      <c r="L23" s="468"/>
      <c r="M23" s="1688">
        <f>SUM(M15:M22)</f>
        <v>14517360</v>
      </c>
      <c r="N23" s="1688">
        <f>SUM(N21:N22)</f>
        <v>3999005</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2085</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120276</v>
      </c>
      <c r="M33" s="468"/>
      <c r="N33" s="469"/>
    </row>
    <row r="34" spans="1:14" ht="13.5" customHeight="1" thickBot="1" x14ac:dyDescent="0.25">
      <c r="A34" s="1738" t="s">
        <v>654</v>
      </c>
      <c r="B34" s="1739"/>
      <c r="C34" s="1740">
        <f>SUM(C25:C33)</f>
        <v>2085</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120276</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3999005</v>
      </c>
    </row>
    <row r="37" spans="1:14" ht="13.5" thickBot="1" x14ac:dyDescent="0.25">
      <c r="A37" s="1736" t="s">
        <v>653</v>
      </c>
      <c r="B37" s="1741"/>
      <c r="C37" s="477"/>
      <c r="D37" s="477"/>
      <c r="E37" s="477"/>
      <c r="F37" s="477"/>
      <c r="G37" s="477"/>
      <c r="H37" s="477"/>
      <c r="I37" s="477"/>
      <c r="J37" s="477"/>
      <c r="K37" s="477"/>
      <c r="L37" s="480"/>
      <c r="M37" s="468"/>
      <c r="N37" s="1688">
        <f>SUM(N36:N36)</f>
        <v>3999005</v>
      </c>
    </row>
    <row r="38" spans="1:14" s="329" customFormat="1" ht="13.5" customHeight="1" thickTop="1" x14ac:dyDescent="0.2">
      <c r="A38" s="496" t="s">
        <v>420</v>
      </c>
      <c r="B38" s="483">
        <v>714</v>
      </c>
      <c r="C38" s="466">
        <v>55166</v>
      </c>
      <c r="D38" s="466"/>
      <c r="E38" s="466"/>
      <c r="F38" s="466"/>
      <c r="G38" s="466"/>
      <c r="H38" s="466">
        <v>1602693</v>
      </c>
      <c r="I38" s="466"/>
      <c r="J38" s="467"/>
      <c r="K38" s="466">
        <v>1030113</v>
      </c>
      <c r="L38" s="481"/>
      <c r="M38" s="497"/>
      <c r="N38" s="497"/>
    </row>
    <row r="39" spans="1:14" s="329" customFormat="1" ht="13.5" customHeight="1" x14ac:dyDescent="0.2">
      <c r="A39" s="496" t="s">
        <v>342</v>
      </c>
      <c r="B39" s="483">
        <v>730</v>
      </c>
      <c r="C39" s="466">
        <v>1185789</v>
      </c>
      <c r="D39" s="466">
        <v>249394</v>
      </c>
      <c r="E39" s="466">
        <v>108784</v>
      </c>
      <c r="F39" s="466">
        <v>380956</v>
      </c>
      <c r="G39" s="466">
        <v>33069</v>
      </c>
      <c r="H39" s="466">
        <v>125472</v>
      </c>
      <c r="I39" s="466">
        <v>163804</v>
      </c>
      <c r="J39" s="467">
        <v>47150</v>
      </c>
      <c r="K39" s="466">
        <v>65170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14517360</v>
      </c>
      <c r="N40" s="497"/>
    </row>
    <row r="41" spans="1:14" ht="13.5" customHeight="1" thickBot="1" x14ac:dyDescent="0.25">
      <c r="A41" s="1736" t="s">
        <v>655</v>
      </c>
      <c r="B41" s="1706"/>
      <c r="C41" s="1688">
        <f>(SUM(C34,C37,C38,C39))</f>
        <v>1243040</v>
      </c>
      <c r="D41" s="1688">
        <f t="shared" ref="D41:L41" si="2">SUM(D34,D37,D38:D39)</f>
        <v>249394</v>
      </c>
      <c r="E41" s="1688">
        <f t="shared" si="2"/>
        <v>108784</v>
      </c>
      <c r="F41" s="1688">
        <f t="shared" si="2"/>
        <v>380956</v>
      </c>
      <c r="G41" s="1688">
        <f t="shared" si="2"/>
        <v>33069</v>
      </c>
      <c r="H41" s="1688">
        <f t="shared" si="2"/>
        <v>1728165</v>
      </c>
      <c r="I41" s="1688">
        <f t="shared" si="2"/>
        <v>163804</v>
      </c>
      <c r="J41" s="1688">
        <f t="shared" si="2"/>
        <v>47150</v>
      </c>
      <c r="K41" s="1688">
        <f t="shared" si="2"/>
        <v>1095283</v>
      </c>
      <c r="L41" s="1688">
        <f t="shared" si="2"/>
        <v>120276</v>
      </c>
      <c r="M41" s="1688">
        <f>SUM(M40)</f>
        <v>14517360</v>
      </c>
      <c r="N41" s="1688">
        <f>SUM(N37)</f>
        <v>3999005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10" orientation="landscape" useFirstPageNumber="1" r:id="rId1"/>
  <headerFooter differentFirst="1" scaleWithDoc="0">
    <oddHeader xml:space="preserve">&amp;C&amp;"Arial,Bold"&amp;9BASIC FINANCIAL STATEMENTS
STATEMENT OF ASSETS AND LIABILITIES ARISING FROM CASH TRANSACTIONS
STATEMENT OF POSITION AS OF JUNE 30, 2019
</oddHeader>
    <oddFooter>&amp;LSee notes to financial statements.&amp;C11</oddFooter>
    <firstHeader xml:space="preserve">&amp;C&amp;"Arial,Bold"BASIC FINANCIAL STATEMENTS
STATEMENT OF ASSETS AND LIABILITIES ARISING FROM CASH TRANSACTIONS
STATEMENT OF POSITION AS OF JUNE 30, 2019
</firstHeader>
    <firstFooter>&amp;LSee notes to financial statements.&amp;C10</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4" sqref="A4:F4"/>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1641233</v>
      </c>
      <c r="D4" s="1742">
        <f>'Revenues 9-14'!D109</f>
        <v>346648</v>
      </c>
      <c r="E4" s="1742">
        <f>'Revenues 9-14'!E109</f>
        <v>165517</v>
      </c>
      <c r="F4" s="1742">
        <f>'Revenues 9-14'!F109</f>
        <v>168220</v>
      </c>
      <c r="G4" s="1742">
        <f>'Revenues 9-14'!G109</f>
        <v>206174</v>
      </c>
      <c r="H4" s="1742">
        <f>'Revenues 9-14'!H109</f>
        <v>187628</v>
      </c>
      <c r="I4" s="1742">
        <f>'Revenues 9-14'!I109</f>
        <v>13327</v>
      </c>
      <c r="J4" s="1742">
        <f>'Revenues 9-14'!J109</f>
        <v>43669</v>
      </c>
      <c r="K4" s="1742">
        <f>'Revenues 9-14'!K109</f>
        <v>13143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2704900</v>
      </c>
      <c r="D6" s="1743">
        <f>'Revenues 9-14'!D170</f>
        <v>60000</v>
      </c>
      <c r="E6" s="1743">
        <f>'Revenues 9-14'!E170</f>
        <v>0</v>
      </c>
      <c r="F6" s="1743">
        <f>'Revenues 9-14'!F170</f>
        <v>180162</v>
      </c>
      <c r="G6" s="1743">
        <f>'Revenues 9-14'!G170</f>
        <v>10000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536470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4882603</v>
      </c>
      <c r="D8" s="1688">
        <f t="shared" ref="D8:K8" si="0">SUM(D4:D7)</f>
        <v>406648</v>
      </c>
      <c r="E8" s="1688">
        <f t="shared" si="0"/>
        <v>165517</v>
      </c>
      <c r="F8" s="1688">
        <f t="shared" si="0"/>
        <v>348382</v>
      </c>
      <c r="G8" s="1688">
        <f t="shared" si="0"/>
        <v>216174</v>
      </c>
      <c r="H8" s="1688">
        <f t="shared" si="0"/>
        <v>187628</v>
      </c>
      <c r="I8" s="1688">
        <f t="shared" si="0"/>
        <v>13327</v>
      </c>
      <c r="J8" s="1688">
        <f t="shared" si="0"/>
        <v>43669</v>
      </c>
      <c r="K8" s="1688">
        <f t="shared" si="0"/>
        <v>13143</v>
      </c>
      <c r="L8" s="347"/>
    </row>
    <row r="9" spans="1:13" ht="15.75" thickTop="1" x14ac:dyDescent="0.2">
      <c r="A9" s="514" t="s">
        <v>1653</v>
      </c>
      <c r="B9" s="515">
        <v>3998</v>
      </c>
      <c r="C9" s="481">
        <v>1761435</v>
      </c>
      <c r="D9" s="516"/>
      <c r="E9" s="481"/>
      <c r="F9" s="481"/>
      <c r="G9" s="517"/>
      <c r="H9" s="481"/>
      <c r="I9" s="509" t="s">
        <v>1169</v>
      </c>
      <c r="J9" s="478"/>
      <c r="K9" s="481"/>
      <c r="L9" s="347"/>
    </row>
    <row r="10" spans="1:13" s="519" customFormat="1" ht="13.5" thickBot="1" x14ac:dyDescent="0.25">
      <c r="A10" s="1736" t="s">
        <v>1173</v>
      </c>
      <c r="B10" s="1709"/>
      <c r="C10" s="1688">
        <f>SUM(C8:C9)</f>
        <v>6644038</v>
      </c>
      <c r="D10" s="1688">
        <f t="shared" ref="D10:K10" si="1">SUM(D8:D9)</f>
        <v>406648</v>
      </c>
      <c r="E10" s="1688">
        <f t="shared" si="1"/>
        <v>165517</v>
      </c>
      <c r="F10" s="1688">
        <f t="shared" si="1"/>
        <v>348382</v>
      </c>
      <c r="G10" s="1688">
        <f t="shared" si="1"/>
        <v>216174</v>
      </c>
      <c r="H10" s="1688">
        <f t="shared" si="1"/>
        <v>187628</v>
      </c>
      <c r="I10" s="1688">
        <f t="shared" si="1"/>
        <v>13327</v>
      </c>
      <c r="J10" s="1688">
        <f t="shared" si="1"/>
        <v>43669</v>
      </c>
      <c r="K10" s="1688">
        <f t="shared" si="1"/>
        <v>13143</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3146363</v>
      </c>
      <c r="D12" s="520" t="s">
        <v>1169</v>
      </c>
      <c r="E12" s="468" t="s">
        <v>1169</v>
      </c>
      <c r="F12" s="468" t="s">
        <v>1169</v>
      </c>
      <c r="G12" s="1742">
        <f>'Expenditures 15-22'!K229</f>
        <v>56939</v>
      </c>
      <c r="H12" s="521"/>
      <c r="I12" s="468" t="s">
        <v>1169</v>
      </c>
      <c r="J12" s="468" t="s">
        <v>1169</v>
      </c>
      <c r="K12" s="521" t="s">
        <v>1169</v>
      </c>
      <c r="L12" s="347"/>
    </row>
    <row r="13" spans="1:13" ht="15.75" customHeight="1" x14ac:dyDescent="0.2">
      <c r="A13" s="1576" t="s">
        <v>457</v>
      </c>
      <c r="B13" s="1578">
        <v>2000</v>
      </c>
      <c r="C13" s="1743">
        <f>'Expenditures 15-22'!K74</f>
        <v>1397030</v>
      </c>
      <c r="D13" s="1743">
        <f>'Expenditures 15-22'!K129</f>
        <v>406184</v>
      </c>
      <c r="E13" s="469" t="s">
        <v>1169</v>
      </c>
      <c r="F13" s="1743">
        <f>'Expenditures 15-22'!K184</f>
        <v>347455</v>
      </c>
      <c r="G13" s="1743">
        <f>'Expenditures 15-22'!K279</f>
        <v>126900</v>
      </c>
      <c r="H13" s="1743">
        <f>'Expenditures 15-22'!K303</f>
        <v>237350</v>
      </c>
      <c r="I13" s="468" t="s">
        <v>1169</v>
      </c>
      <c r="J13" s="1743">
        <f>'Expenditures 15-22'!K330</f>
        <v>33511</v>
      </c>
      <c r="K13" s="1747">
        <f>'Expenditures 15-22'!K352</f>
        <v>1713</v>
      </c>
      <c r="L13" s="347"/>
    </row>
    <row r="14" spans="1:13" ht="15.75" customHeight="1" x14ac:dyDescent="0.2">
      <c r="A14" s="1576" t="s">
        <v>449</v>
      </c>
      <c r="B14" s="1578">
        <v>3000</v>
      </c>
      <c r="C14" s="1743">
        <f>'Expenditures 15-22'!K75</f>
        <v>135493</v>
      </c>
      <c r="D14" s="1743">
        <f>'Expenditures 15-22'!K130</f>
        <v>0</v>
      </c>
      <c r="E14" s="520" t="s">
        <v>1169</v>
      </c>
      <c r="F14" s="1743">
        <f>'Expenditures 15-22'!K185</f>
        <v>0</v>
      </c>
      <c r="G14" s="1743">
        <f>'Expenditures 15-22'!K280</f>
        <v>10160</v>
      </c>
      <c r="H14" s="512"/>
      <c r="I14" s="468" t="s">
        <v>1169</v>
      </c>
      <c r="J14" s="468" t="s">
        <v>1169</v>
      </c>
      <c r="K14" s="512" t="s">
        <v>1169</v>
      </c>
      <c r="L14" s="347"/>
    </row>
    <row r="15" spans="1:13" ht="15.75" customHeight="1" x14ac:dyDescent="0.2">
      <c r="A15" s="1576" t="s">
        <v>107</v>
      </c>
      <c r="B15" s="1578">
        <v>4000</v>
      </c>
      <c r="C15" s="1743">
        <f>'Expenditures 15-22'!K102</f>
        <v>131505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220074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4810391</v>
      </c>
      <c r="D17" s="1688">
        <f t="shared" si="2"/>
        <v>406184</v>
      </c>
      <c r="E17" s="1688">
        <f t="shared" si="2"/>
        <v>220074</v>
      </c>
      <c r="F17" s="1688">
        <f t="shared" si="2"/>
        <v>347455</v>
      </c>
      <c r="G17" s="1688">
        <f t="shared" si="2"/>
        <v>193999</v>
      </c>
      <c r="H17" s="1688">
        <f t="shared" si="2"/>
        <v>237350</v>
      </c>
      <c r="I17" s="468"/>
      <c r="J17" s="1688">
        <f>SUM(J12:J16)</f>
        <v>33511</v>
      </c>
      <c r="K17" s="1688">
        <f>SUM(K12:K16)</f>
        <v>1713</v>
      </c>
      <c r="L17" s="347"/>
    </row>
    <row r="18" spans="1:12" ht="15" customHeight="1" thickTop="1" x14ac:dyDescent="0.2">
      <c r="A18" s="1744" t="s">
        <v>1654</v>
      </c>
      <c r="B18" s="1745">
        <v>4180</v>
      </c>
      <c r="C18" s="1742">
        <f t="shared" ref="C18:H18" si="3">C9</f>
        <v>1761435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6571826</v>
      </c>
      <c r="D19" s="1688">
        <f t="shared" si="4"/>
        <v>406184</v>
      </c>
      <c r="E19" s="1688">
        <f t="shared" si="4"/>
        <v>220074</v>
      </c>
      <c r="F19" s="1688">
        <f t="shared" si="4"/>
        <v>347455</v>
      </c>
      <c r="G19" s="1688">
        <f t="shared" si="4"/>
        <v>193999</v>
      </c>
      <c r="H19" s="1688">
        <f t="shared" si="4"/>
        <v>237350</v>
      </c>
      <c r="I19" s="468"/>
      <c r="J19" s="1688">
        <f>SUM(J17:J18)</f>
        <v>33511</v>
      </c>
      <c r="K19" s="1688">
        <f>SUM(K17:K18)</f>
        <v>1713</v>
      </c>
      <c r="L19" s="347"/>
    </row>
    <row r="20" spans="1:12" ht="16.5" thickTop="1" thickBot="1" x14ac:dyDescent="0.25">
      <c r="A20" s="2127" t="s">
        <v>1655</v>
      </c>
      <c r="B20" s="2128"/>
      <c r="C20" s="1746">
        <f>C8-C17</f>
        <v>72212</v>
      </c>
      <c r="D20" s="1746">
        <f t="shared" ref="D20:K20" si="5">D8-D17</f>
        <v>464</v>
      </c>
      <c r="E20" s="1746">
        <f t="shared" si="5"/>
        <v>-54557</v>
      </c>
      <c r="F20" s="1746">
        <f t="shared" si="5"/>
        <v>927</v>
      </c>
      <c r="G20" s="1746">
        <f t="shared" si="5"/>
        <v>22175</v>
      </c>
      <c r="H20" s="1746">
        <f t="shared" si="5"/>
        <v>-49722</v>
      </c>
      <c r="I20" s="1746">
        <f t="shared" si="5"/>
        <v>13327</v>
      </c>
      <c r="J20" s="1746">
        <f t="shared" si="5"/>
        <v>10158</v>
      </c>
      <c r="K20" s="1746">
        <f t="shared" si="5"/>
        <v>11430</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v>1575000</v>
      </c>
      <c r="I33" s="467"/>
      <c r="J33" s="467"/>
      <c r="K33" s="467">
        <v>1020000</v>
      </c>
      <c r="L33" s="524"/>
    </row>
    <row r="34" spans="1:12" s="485" customFormat="1" x14ac:dyDescent="0.2">
      <c r="A34" s="1489" t="s">
        <v>1001</v>
      </c>
      <c r="B34" s="525">
        <v>7220</v>
      </c>
      <c r="C34" s="467"/>
      <c r="D34" s="467"/>
      <c r="E34" s="467"/>
      <c r="F34" s="467"/>
      <c r="G34" s="477"/>
      <c r="H34" s="478">
        <v>95520</v>
      </c>
      <c r="I34" s="478"/>
      <c r="J34" s="478"/>
      <c r="K34" s="478">
        <v>53761</v>
      </c>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134466</v>
      </c>
      <c r="F43" s="467"/>
      <c r="G43" s="467"/>
      <c r="H43" s="467"/>
      <c r="I43" s="467"/>
      <c r="J43" s="467"/>
      <c r="K43" s="467"/>
      <c r="L43" s="524"/>
    </row>
    <row r="44" spans="1:12" s="485" customFormat="1" ht="13.5" customHeight="1" thickBot="1" x14ac:dyDescent="0.25">
      <c r="A44" s="2141" t="s">
        <v>374</v>
      </c>
      <c r="B44" s="2142"/>
      <c r="C44" s="1703">
        <f>SUM(C24:C43)</f>
        <v>0</v>
      </c>
      <c r="D44" s="1703">
        <f t="shared" ref="D44:K44" si="6">SUM(D24:D43)</f>
        <v>0</v>
      </c>
      <c r="E44" s="1703">
        <f t="shared" si="6"/>
        <v>134466</v>
      </c>
      <c r="F44" s="1703">
        <f t="shared" si="6"/>
        <v>0</v>
      </c>
      <c r="G44" s="1703">
        <f t="shared" si="6"/>
        <v>0</v>
      </c>
      <c r="H44" s="1703">
        <f t="shared" si="6"/>
        <v>1670520</v>
      </c>
      <c r="I44" s="1703">
        <f t="shared" si="6"/>
        <v>0</v>
      </c>
      <c r="J44" s="1703">
        <f t="shared" si="6"/>
        <v>0</v>
      </c>
      <c r="K44" s="1703">
        <f t="shared" si="6"/>
        <v>1073761</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202292</v>
      </c>
      <c r="I75" s="530"/>
      <c r="J75" s="530"/>
      <c r="K75" s="532">
        <v>43648</v>
      </c>
      <c r="L75" s="524"/>
    </row>
    <row r="76" spans="1:12" s="485" customFormat="1" ht="14.25" thickTop="1" thickBot="1" x14ac:dyDescent="0.25">
      <c r="A76" s="2117" t="s">
        <v>440</v>
      </c>
      <c r="B76" s="2118"/>
      <c r="C76" s="1703">
        <f t="shared" ref="C76:K76" si="7">SUM(C47:C75)</f>
        <v>0</v>
      </c>
      <c r="D76" s="1703">
        <f t="shared" si="7"/>
        <v>0</v>
      </c>
      <c r="E76" s="1703">
        <f t="shared" si="7"/>
        <v>0</v>
      </c>
      <c r="F76" s="1703">
        <f t="shared" si="7"/>
        <v>0</v>
      </c>
      <c r="G76" s="1703">
        <f t="shared" si="7"/>
        <v>0</v>
      </c>
      <c r="H76" s="1703">
        <f t="shared" si="7"/>
        <v>202292</v>
      </c>
      <c r="I76" s="1703">
        <f t="shared" si="7"/>
        <v>0</v>
      </c>
      <c r="J76" s="1703">
        <f t="shared" si="7"/>
        <v>0</v>
      </c>
      <c r="K76" s="1703">
        <f t="shared" si="7"/>
        <v>43648</v>
      </c>
      <c r="L76" s="524"/>
    </row>
    <row r="77" spans="1:12" ht="14.25" thickTop="1" thickBot="1" x14ac:dyDescent="0.25">
      <c r="A77" s="2119" t="s">
        <v>1177</v>
      </c>
      <c r="B77" s="2120"/>
      <c r="C77" s="1703">
        <f t="shared" ref="C77:K77" si="8">C44-C76</f>
        <v>0</v>
      </c>
      <c r="D77" s="1703">
        <f t="shared" si="8"/>
        <v>0</v>
      </c>
      <c r="E77" s="1703">
        <f t="shared" si="8"/>
        <v>134466</v>
      </c>
      <c r="F77" s="1703">
        <f t="shared" si="8"/>
        <v>0</v>
      </c>
      <c r="G77" s="1703">
        <f t="shared" si="8"/>
        <v>0</v>
      </c>
      <c r="H77" s="1703">
        <f t="shared" si="8"/>
        <v>1468228</v>
      </c>
      <c r="I77" s="1703">
        <f t="shared" si="8"/>
        <v>0</v>
      </c>
      <c r="J77" s="1703">
        <f t="shared" si="8"/>
        <v>0</v>
      </c>
      <c r="K77" s="1703">
        <f t="shared" si="8"/>
        <v>1030113</v>
      </c>
      <c r="L77" s="347"/>
    </row>
    <row r="78" spans="1:12" ht="21.75" customHeight="1" thickTop="1" thickBot="1" x14ac:dyDescent="0.25">
      <c r="A78" s="2123" t="s">
        <v>597</v>
      </c>
      <c r="B78" s="2124"/>
      <c r="C78" s="1702">
        <f t="shared" ref="C78:K78" si="9">C20+C77</f>
        <v>72212</v>
      </c>
      <c r="D78" s="1702">
        <f t="shared" si="9"/>
        <v>464</v>
      </c>
      <c r="E78" s="1702">
        <f t="shared" si="9"/>
        <v>79909</v>
      </c>
      <c r="F78" s="1702">
        <f t="shared" si="9"/>
        <v>927</v>
      </c>
      <c r="G78" s="1702">
        <f t="shared" si="9"/>
        <v>22175</v>
      </c>
      <c r="H78" s="1702">
        <f t="shared" si="9"/>
        <v>1418506</v>
      </c>
      <c r="I78" s="1702">
        <f t="shared" si="9"/>
        <v>13327</v>
      </c>
      <c r="J78" s="1702">
        <f t="shared" si="9"/>
        <v>10158</v>
      </c>
      <c r="K78" s="1702">
        <f t="shared" si="9"/>
        <v>1041543</v>
      </c>
      <c r="L78" s="533"/>
    </row>
    <row r="79" spans="1:12" ht="13.5" thickTop="1" x14ac:dyDescent="0.2">
      <c r="A79" s="1494" t="s">
        <v>1949</v>
      </c>
      <c r="B79" s="534"/>
      <c r="C79" s="478">
        <v>1168743</v>
      </c>
      <c r="D79" s="535">
        <v>248930</v>
      </c>
      <c r="E79" s="535">
        <v>28875</v>
      </c>
      <c r="F79" s="535">
        <v>380029</v>
      </c>
      <c r="G79" s="535">
        <v>10894</v>
      </c>
      <c r="H79" s="535">
        <v>309659</v>
      </c>
      <c r="I79" s="535">
        <v>150477</v>
      </c>
      <c r="J79" s="535">
        <v>36992</v>
      </c>
      <c r="K79" s="535">
        <v>53740</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1950</v>
      </c>
      <c r="B81" s="2122"/>
      <c r="C81" s="1688">
        <f>(SUM(C78:C80))</f>
        <v>1240955</v>
      </c>
      <c r="D81" s="1688">
        <f>SUM(D78:D80)</f>
        <v>249394</v>
      </c>
      <c r="E81" s="1688">
        <f t="shared" ref="E81:K81" si="10">SUM(E78:E80)</f>
        <v>108784</v>
      </c>
      <c r="F81" s="1688">
        <f t="shared" si="10"/>
        <v>380956</v>
      </c>
      <c r="G81" s="1688">
        <f t="shared" si="10"/>
        <v>33069</v>
      </c>
      <c r="H81" s="1688">
        <f t="shared" si="10"/>
        <v>1728165</v>
      </c>
      <c r="I81" s="1688">
        <f t="shared" si="10"/>
        <v>163804</v>
      </c>
      <c r="J81" s="1688">
        <f t="shared" si="10"/>
        <v>47150</v>
      </c>
      <c r="K81" s="1688">
        <f t="shared" si="10"/>
        <v>1095283</v>
      </c>
      <c r="L81" s="347"/>
    </row>
    <row r="82" spans="1:12" ht="0.75" customHeight="1" thickTop="1" thickBot="1" x14ac:dyDescent="0.25">
      <c r="A82" s="536" t="s">
        <v>343</v>
      </c>
      <c r="B82" s="537"/>
      <c r="C82" s="538">
        <f>(C81-C79)</f>
        <v>72212</v>
      </c>
      <c r="D82" s="538">
        <f t="shared" ref="D82:K82" si="11">(D81-D79)</f>
        <v>464</v>
      </c>
      <c r="E82" s="538">
        <f t="shared" si="11"/>
        <v>79909</v>
      </c>
      <c r="F82" s="538">
        <f t="shared" si="11"/>
        <v>927</v>
      </c>
      <c r="G82" s="538">
        <f t="shared" si="11"/>
        <v>22175</v>
      </c>
      <c r="H82" s="538">
        <f t="shared" si="11"/>
        <v>1418506</v>
      </c>
      <c r="I82" s="538">
        <f t="shared" si="11"/>
        <v>13327</v>
      </c>
      <c r="J82" s="538">
        <f t="shared" si="11"/>
        <v>10158</v>
      </c>
      <c r="K82" s="538">
        <f t="shared" si="11"/>
        <v>1041543</v>
      </c>
    </row>
    <row r="83" spans="1:12" ht="14.25" hidden="1" thickTop="1" thickBot="1" x14ac:dyDescent="0.25">
      <c r="A83" s="539" t="s">
        <v>344</v>
      </c>
      <c r="B83" s="464"/>
      <c r="C83" s="540">
        <f>C82/C81</f>
        <v>5.8190667671269306E-2</v>
      </c>
      <c r="D83" s="540">
        <f t="shared" ref="D83:K83" si="12">D82/D81</f>
        <v>1.8605098759392768E-3</v>
      </c>
      <c r="E83" s="540">
        <f t="shared" si="12"/>
        <v>0.73456574496249449</v>
      </c>
      <c r="F83" s="540">
        <f t="shared" si="12"/>
        <v>2.4333518831571102E-3</v>
      </c>
      <c r="G83" s="540">
        <f t="shared" si="12"/>
        <v>0.6705676010765369</v>
      </c>
      <c r="H83" s="540">
        <f t="shared" si="12"/>
        <v>0.82081629936956246</v>
      </c>
      <c r="I83" s="540">
        <f t="shared" si="12"/>
        <v>8.1359429562159649E-2</v>
      </c>
      <c r="J83" s="540">
        <f t="shared" si="12"/>
        <v>0.21544008483563096</v>
      </c>
      <c r="K83" s="540">
        <f t="shared" si="12"/>
        <v>0.95093505514100007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 bottom="0.48" header="0.19" footer="0.25"/>
  <pageSetup scale="73" firstPageNumber="7" orientation="landscape" useFirstPageNumber="1" r:id="rId1"/>
  <headerFooter differentFirst="1" scaleWithDoc="0">
    <oddHeader xml:space="preserve">&amp;CBASIC FINANCIAL STATEMENT
STATEMENT OF REVENUES RECEIVED/REVENUES, EXPENDITURES/DISBURSED/EXPENDITURES, OTHER 
SOURCES (USES) AND CHANGES IN FUND BALANCE
ALL FUNDS - FOR THE YEAR ENDING JUNE 30, 2019 </oddHeader>
    <oddFooter>&amp;LSee notes to financial statements.&amp;C13</oddFooter>
    <firstHeader xml:space="preserve">&amp;CBASIC FINANCIAL STATEMENT
STATEMENT OF REVENUES RECEIVED/REVENUES, EXPENDITURES/DISBURSED/EXPENDITURES, OTHER 
SOURCES (USES) AND CHANGES IN FUND BALANCE
ALL FUNDS - FOR THE YEAR ENDING JUNE 30, 2019 </firstHeader>
    <firstFooter>&amp;LSee notes to financial statements.&amp;C12</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0" workbookViewId="0">
      <pane ySplit="2" topLeftCell="A30" activePane="bottomLeft" state="frozen"/>
      <selection activeCell="A4" sqref="A4:F4"/>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1437010</v>
      </c>
      <c r="D5" s="481">
        <v>296801</v>
      </c>
      <c r="E5" s="466">
        <v>165501</v>
      </c>
      <c r="F5" s="548">
        <v>125942</v>
      </c>
      <c r="G5" s="466">
        <v>78711</v>
      </c>
      <c r="H5" s="466"/>
      <c r="I5" s="466">
        <v>12764</v>
      </c>
      <c r="J5" s="467">
        <v>37394</v>
      </c>
      <c r="K5" s="466">
        <v>12764</v>
      </c>
    </row>
    <row r="6" spans="1:12" ht="15" x14ac:dyDescent="0.2">
      <c r="A6" s="463" t="s">
        <v>1662</v>
      </c>
      <c r="B6" s="470">
        <v>1130</v>
      </c>
      <c r="C6" s="466">
        <v>12764</v>
      </c>
      <c r="D6" s="466"/>
      <c r="E6" s="475"/>
      <c r="F6" s="475"/>
      <c r="G6" s="468"/>
      <c r="H6" s="468"/>
      <c r="I6" s="468"/>
      <c r="J6" s="468"/>
      <c r="K6" s="468"/>
    </row>
    <row r="7" spans="1:12" x14ac:dyDescent="0.2">
      <c r="A7" s="463" t="s">
        <v>110</v>
      </c>
      <c r="B7" s="549">
        <v>1140</v>
      </c>
      <c r="C7" s="466">
        <v>12764</v>
      </c>
      <c r="D7" s="466"/>
      <c r="E7" s="468"/>
      <c r="F7" s="467"/>
      <c r="G7" s="467"/>
      <c r="H7" s="467"/>
      <c r="I7" s="468"/>
      <c r="J7" s="468"/>
      <c r="K7" s="468"/>
    </row>
    <row r="8" spans="1:12" x14ac:dyDescent="0.2">
      <c r="A8" s="463" t="s">
        <v>413</v>
      </c>
      <c r="B8" s="470">
        <v>1150</v>
      </c>
      <c r="C8" s="475"/>
      <c r="D8" s="475"/>
      <c r="E8" s="477"/>
      <c r="F8" s="477"/>
      <c r="G8" s="481">
        <v>72196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1462538</v>
      </c>
      <c r="D12" s="1707">
        <f t="shared" si="0"/>
        <v>296801</v>
      </c>
      <c r="E12" s="1707">
        <f t="shared" si="0"/>
        <v>165501</v>
      </c>
      <c r="F12" s="1707">
        <f t="shared" si="0"/>
        <v>125942</v>
      </c>
      <c r="G12" s="1707">
        <f t="shared" si="0"/>
        <v>150907</v>
      </c>
      <c r="H12" s="1707">
        <f t="shared" si="0"/>
        <v>0</v>
      </c>
      <c r="I12" s="1707">
        <f t="shared" si="0"/>
        <v>12764</v>
      </c>
      <c r="J12" s="1707">
        <f t="shared" si="0"/>
        <v>37394</v>
      </c>
      <c r="K12" s="1688">
        <f t="shared" si="0"/>
        <v>12764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44732</v>
      </c>
      <c r="E16" s="466"/>
      <c r="F16" s="466"/>
      <c r="G16" s="466">
        <v>55000</v>
      </c>
      <c r="H16" s="466"/>
      <c r="I16" s="466"/>
      <c r="J16" s="467">
        <v>5000</v>
      </c>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44732</v>
      </c>
      <c r="E18" s="1710">
        <f t="shared" si="1"/>
        <v>0</v>
      </c>
      <c r="F18" s="1710">
        <f t="shared" si="1"/>
        <v>0</v>
      </c>
      <c r="G18" s="1710">
        <f t="shared" si="1"/>
        <v>55000</v>
      </c>
      <c r="H18" s="1710">
        <f t="shared" si="1"/>
        <v>0</v>
      </c>
      <c r="I18" s="1710">
        <f t="shared" si="1"/>
        <v>0</v>
      </c>
      <c r="J18" s="1710">
        <f t="shared" si="1"/>
        <v>5000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1085</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1085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24975</v>
      </c>
      <c r="G44" s="468"/>
      <c r="H44" s="468"/>
      <c r="I44" s="468"/>
      <c r="J44" s="468"/>
      <c r="K44" s="468"/>
    </row>
    <row r="45" spans="1:11" ht="12.75" customHeight="1" x14ac:dyDescent="0.2">
      <c r="A45" s="463" t="s">
        <v>240</v>
      </c>
      <c r="B45" s="470">
        <v>1415</v>
      </c>
      <c r="C45" s="468"/>
      <c r="D45" s="468"/>
      <c r="E45" s="468"/>
      <c r="F45" s="466">
        <v>7215</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v>7693</v>
      </c>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39883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4687</v>
      </c>
      <c r="D65" s="466">
        <v>1075</v>
      </c>
      <c r="E65" s="466">
        <v>16</v>
      </c>
      <c r="F65" s="467">
        <v>1267</v>
      </c>
      <c r="G65" s="466">
        <v>267</v>
      </c>
      <c r="H65" s="466">
        <v>939</v>
      </c>
      <c r="I65" s="466">
        <v>563</v>
      </c>
      <c r="J65" s="467">
        <v>153</v>
      </c>
      <c r="K65" s="466">
        <v>379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4687</v>
      </c>
      <c r="D67" s="1688">
        <f t="shared" ref="D67:K67" si="2">SUM(D65:D66)</f>
        <v>1075</v>
      </c>
      <c r="E67" s="1688">
        <f t="shared" si="2"/>
        <v>16</v>
      </c>
      <c r="F67" s="1688">
        <f t="shared" si="2"/>
        <v>1267</v>
      </c>
      <c r="G67" s="1688">
        <f t="shared" si="2"/>
        <v>267</v>
      </c>
      <c r="H67" s="1688">
        <f t="shared" si="2"/>
        <v>939</v>
      </c>
      <c r="I67" s="1688">
        <f t="shared" si="2"/>
        <v>563</v>
      </c>
      <c r="J67" s="1688">
        <f t="shared" si="2"/>
        <v>153</v>
      </c>
      <c r="K67" s="1688">
        <f t="shared" si="2"/>
        <v>379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235</v>
      </c>
      <c r="D69" s="468"/>
      <c r="E69" s="468"/>
      <c r="F69" s="468"/>
      <c r="G69" s="468"/>
      <c r="H69" s="468"/>
      <c r="I69" s="468"/>
      <c r="J69" s="468"/>
      <c r="K69" s="468"/>
    </row>
    <row r="70" spans="1:11" ht="12.75" customHeight="1" x14ac:dyDescent="0.2">
      <c r="A70" s="463" t="s">
        <v>997</v>
      </c>
      <c r="B70" s="470">
        <v>1612</v>
      </c>
      <c r="C70" s="551">
        <v>23</v>
      </c>
      <c r="D70" s="468"/>
      <c r="E70" s="468"/>
      <c r="F70" s="468"/>
      <c r="G70" s="468"/>
      <c r="H70" s="468"/>
      <c r="I70" s="468"/>
      <c r="J70" s="468"/>
      <c r="K70" s="468"/>
    </row>
    <row r="71" spans="1:11" ht="12.75" customHeight="1" x14ac:dyDescent="0.2">
      <c r="A71" s="463" t="s">
        <v>273</v>
      </c>
      <c r="B71" s="470">
        <v>1613</v>
      </c>
      <c r="C71" s="551">
        <v>2547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2900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5705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27017</v>
      </c>
      <c r="D77" s="466"/>
      <c r="E77" s="468"/>
      <c r="F77" s="468"/>
      <c r="G77" s="468"/>
      <c r="H77" s="468"/>
      <c r="I77" s="468"/>
      <c r="J77" s="468"/>
      <c r="K77" s="468"/>
    </row>
    <row r="78" spans="1:11" ht="12.75" customHeight="1" x14ac:dyDescent="0.2">
      <c r="A78" s="463" t="s">
        <v>76</v>
      </c>
      <c r="B78" s="470">
        <v>1719</v>
      </c>
      <c r="C78" s="551">
        <v>1660</v>
      </c>
      <c r="D78" s="466"/>
      <c r="E78" s="468"/>
      <c r="F78" s="468"/>
      <c r="G78" s="468"/>
      <c r="H78" s="468"/>
      <c r="I78" s="468"/>
      <c r="J78" s="468"/>
      <c r="K78" s="468"/>
    </row>
    <row r="79" spans="1:11" ht="12.75" customHeight="1" x14ac:dyDescent="0.2">
      <c r="A79" s="463" t="s">
        <v>550</v>
      </c>
      <c r="B79" s="470">
        <v>1720</v>
      </c>
      <c r="C79" s="551">
        <v>20700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58759</v>
      </c>
      <c r="D81" s="466">
        <v>1661</v>
      </c>
      <c r="E81" s="468"/>
      <c r="F81" s="468"/>
      <c r="G81" s="468"/>
      <c r="H81" s="468"/>
      <c r="I81" s="468"/>
      <c r="J81" s="468"/>
      <c r="K81" s="468"/>
    </row>
    <row r="82" spans="1:11" ht="12.75" customHeight="1" thickBot="1" x14ac:dyDescent="0.25">
      <c r="A82" s="1708" t="s">
        <v>241</v>
      </c>
      <c r="B82" s="1709"/>
      <c r="C82" s="1707">
        <f>SUM(C77:C81)</f>
        <v>108136</v>
      </c>
      <c r="D82" s="1688">
        <f>SUM(D77:D81)</f>
        <v>1661</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19544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19544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800</v>
      </c>
      <c r="E95" s="521"/>
      <c r="F95" s="521"/>
      <c r="G95" s="521"/>
      <c r="H95" s="521"/>
      <c r="I95" s="521"/>
      <c r="J95" s="521"/>
      <c r="K95" s="521"/>
    </row>
    <row r="96" spans="1:11" ht="12.75" customHeight="1" x14ac:dyDescent="0.2">
      <c r="A96" s="463" t="s">
        <v>391</v>
      </c>
      <c r="B96" s="470">
        <v>1920</v>
      </c>
      <c r="C96" s="551">
        <v>13766</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6045</v>
      </c>
      <c r="D99" s="466">
        <v>1338</v>
      </c>
      <c r="E99" s="466"/>
      <c r="F99" s="466"/>
      <c r="G99" s="466"/>
      <c r="H99" s="466"/>
      <c r="I99" s="468"/>
      <c r="J99" s="467">
        <v>1122</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8803</v>
      </c>
      <c r="D101" s="526"/>
      <c r="E101" s="480"/>
      <c r="F101" s="526"/>
      <c r="G101" s="475"/>
      <c r="H101" s="526"/>
      <c r="I101" s="468"/>
      <c r="J101" s="475"/>
      <c r="K101" s="475"/>
    </row>
    <row r="102" spans="1:12" ht="12.75" customHeight="1" x14ac:dyDescent="0.2">
      <c r="A102" s="463" t="s">
        <v>247</v>
      </c>
      <c r="B102" s="470">
        <v>1980</v>
      </c>
      <c r="C102" s="489">
        <v>58</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186689</v>
      </c>
      <c r="I103" s="468"/>
      <c r="J103" s="510"/>
      <c r="K103" s="510"/>
    </row>
    <row r="104" spans="1:12" ht="12.75" customHeight="1" x14ac:dyDescent="0.2">
      <c r="A104" s="463" t="s">
        <v>830</v>
      </c>
      <c r="B104" s="470">
        <v>1991</v>
      </c>
      <c r="C104" s="489">
        <v>777</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10089</v>
      </c>
      <c r="D107" s="466">
        <v>241</v>
      </c>
      <c r="E107" s="466"/>
      <c r="F107" s="466">
        <v>1128</v>
      </c>
      <c r="G107" s="466"/>
      <c r="H107" s="466"/>
      <c r="I107" s="466"/>
      <c r="J107" s="467"/>
      <c r="K107" s="466"/>
    </row>
    <row r="108" spans="1:12" ht="12.75" customHeight="1" thickBot="1" x14ac:dyDescent="0.25">
      <c r="A108" s="1708" t="s">
        <v>487</v>
      </c>
      <c r="B108" s="1712"/>
      <c r="C108" s="1707">
        <f>SUM(C95:C107)</f>
        <v>39538</v>
      </c>
      <c r="D108" s="1707">
        <f t="shared" ref="D108:K108" si="3">SUM(D95:D107)</f>
        <v>2379</v>
      </c>
      <c r="E108" s="1707">
        <f t="shared" si="3"/>
        <v>0</v>
      </c>
      <c r="F108" s="1707">
        <f t="shared" si="3"/>
        <v>1128</v>
      </c>
      <c r="G108" s="1707">
        <f t="shared" si="3"/>
        <v>0</v>
      </c>
      <c r="H108" s="1707">
        <f t="shared" si="3"/>
        <v>186689</v>
      </c>
      <c r="I108" s="1707">
        <f t="shared" si="3"/>
        <v>0</v>
      </c>
      <c r="J108" s="1707">
        <f t="shared" si="3"/>
        <v>1122</v>
      </c>
      <c r="K108" s="1688">
        <f t="shared" si="3"/>
        <v>0</v>
      </c>
    </row>
    <row r="109" spans="1:12" ht="14.25" thickTop="1" thickBot="1" x14ac:dyDescent="0.25">
      <c r="A109" s="1713" t="s">
        <v>248</v>
      </c>
      <c r="B109" s="1714" t="s">
        <v>570</v>
      </c>
      <c r="C109" s="1715">
        <f t="shared" ref="C109:K109" si="4">SUM(C12,C18,C40,C63,C67,C75,C82,C93,C108,)</f>
        <v>1641233</v>
      </c>
      <c r="D109" s="1715">
        <f t="shared" si="4"/>
        <v>346648</v>
      </c>
      <c r="E109" s="1715">
        <f t="shared" si="4"/>
        <v>165517</v>
      </c>
      <c r="F109" s="1715">
        <f t="shared" si="4"/>
        <v>168220</v>
      </c>
      <c r="G109" s="1715">
        <f t="shared" si="4"/>
        <v>206174</v>
      </c>
      <c r="H109" s="1715">
        <f t="shared" si="4"/>
        <v>187628</v>
      </c>
      <c r="I109" s="1715">
        <f t="shared" si="4"/>
        <v>13327</v>
      </c>
      <c r="J109" s="1715">
        <f t="shared" si="4"/>
        <v>43669</v>
      </c>
      <c r="K109" s="1702">
        <f t="shared" si="4"/>
        <v>13143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2111014</v>
      </c>
      <c r="D117" s="481">
        <v>60000</v>
      </c>
      <c r="E117" s="466"/>
      <c r="F117" s="481"/>
      <c r="G117" s="481">
        <v>10000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2111014</v>
      </c>
      <c r="D122" s="1707">
        <f t="shared" si="5"/>
        <v>60000</v>
      </c>
      <c r="E122" s="1707">
        <f t="shared" si="5"/>
        <v>0</v>
      </c>
      <c r="F122" s="1707">
        <f t="shared" si="5"/>
        <v>0</v>
      </c>
      <c r="G122" s="1707">
        <f t="shared" si="5"/>
        <v>10000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12089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18440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30529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19670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15440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35110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3852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9736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99882</v>
      </c>
      <c r="G152" s="467"/>
      <c r="H152" s="468"/>
      <c r="I152" s="468"/>
      <c r="J152" s="468"/>
      <c r="K152" s="468"/>
    </row>
    <row r="153" spans="1:11" ht="12.75" customHeight="1" x14ac:dyDescent="0.2">
      <c r="A153" s="463" t="s">
        <v>1057</v>
      </c>
      <c r="B153" s="562">
        <v>3510</v>
      </c>
      <c r="C153" s="551"/>
      <c r="D153" s="466"/>
      <c r="E153" s="561"/>
      <c r="F153" s="466">
        <v>80280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180162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513909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5" t="s">
        <v>398</v>
      </c>
      <c r="B169" s="2146"/>
      <c r="C169" s="1722">
        <f t="shared" ref="C169:K169" si="6">SUM(C132,C141,C145,C146:C150,C155,C156:C167,C168)</f>
        <v>593886</v>
      </c>
      <c r="D169" s="1722">
        <f t="shared" si="6"/>
        <v>0</v>
      </c>
      <c r="E169" s="1722">
        <f t="shared" si="6"/>
        <v>0</v>
      </c>
      <c r="F169" s="1722">
        <f t="shared" si="6"/>
        <v>180162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2704900</v>
      </c>
      <c r="D170" s="1715">
        <f t="shared" si="7"/>
        <v>60000</v>
      </c>
      <c r="E170" s="1715">
        <f t="shared" si="7"/>
        <v>0</v>
      </c>
      <c r="F170" s="1715">
        <f t="shared" si="7"/>
        <v>180162</v>
      </c>
      <c r="G170" s="1715">
        <f t="shared" si="7"/>
        <v>10000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15153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15153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150209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48064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198273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151187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151187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510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11879</v>
      </c>
      <c r="D213" s="466"/>
      <c r="E213" s="468"/>
      <c r="F213" s="466"/>
      <c r="G213" s="466"/>
      <c r="H213" s="468"/>
      <c r="I213" s="468"/>
      <c r="J213" s="468"/>
      <c r="K213" s="468"/>
    </row>
    <row r="214" spans="1:11" ht="12.75" customHeight="1" x14ac:dyDescent="0.2">
      <c r="A214" s="463" t="s">
        <v>1054</v>
      </c>
      <c r="B214" s="470">
        <v>4625</v>
      </c>
      <c r="C214" s="551">
        <v>120291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132680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5897</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5897</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10721</v>
      </c>
      <c r="D263" s="576"/>
      <c r="E263" s="468"/>
      <c r="F263" s="576"/>
      <c r="G263" s="576"/>
      <c r="H263" s="468"/>
      <c r="I263" s="468"/>
      <c r="J263" s="468"/>
      <c r="K263" s="468"/>
    </row>
    <row r="264" spans="1:11" ht="12.75" customHeight="1" thickTop="1" thickBot="1" x14ac:dyDescent="0.25">
      <c r="A264" s="463" t="s">
        <v>377</v>
      </c>
      <c r="B264" s="470">
        <v>4992</v>
      </c>
      <c r="C264" s="575">
        <v>22474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536470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536470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4882603</v>
      </c>
      <c r="D268" s="1715">
        <f t="shared" si="12"/>
        <v>406648</v>
      </c>
      <c r="E268" s="1715">
        <f t="shared" si="12"/>
        <v>165517</v>
      </c>
      <c r="F268" s="1715">
        <f t="shared" si="12"/>
        <v>348382</v>
      </c>
      <c r="G268" s="1715">
        <f t="shared" si="12"/>
        <v>216174</v>
      </c>
      <c r="H268" s="1715">
        <f t="shared" si="12"/>
        <v>187628</v>
      </c>
      <c r="I268" s="1715">
        <f t="shared" si="12"/>
        <v>13327</v>
      </c>
      <c r="J268" s="1715">
        <f t="shared" si="12"/>
        <v>43669</v>
      </c>
      <c r="K268" s="1702">
        <f t="shared" si="12"/>
        <v>13143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25"/>
  <pageSetup scale="74" firstPageNumber="14" fitToWidth="0" fitToHeight="0" orientation="landscape" useFirstPageNumber="1" r:id="rId1"/>
  <headerFooter differentFirst="1" scaleWithDoc="0">
    <oddHeader>&amp;C&amp;"Arial,Bold"&amp;9STATEMENT OF REVENUES RECEIVED/REVENUES
FOR THE YEAR ENDING JUNE 30, 2019</oddHeader>
    <oddFooter>&amp;LSee notes to financial statements.&amp;C&amp;P</oddFooter>
    <firstHeader>&amp;C&amp;"Arial,Bold"STATEMENT OF REVENUES RECEIVED/REVENUES
FOR THE YEAR ENDING JUNE 30, 2019</firstHeader>
    <firstFooter>&amp;LSee notes to financial statements.&amp;C14</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97" activePane="bottomLeft" state="frozen"/>
      <selection activeCell="A4" sqref="A4:F4"/>
      <selection pane="bottomLeft" activeCell="K17" sqref="K1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1481281</v>
      </c>
      <c r="D5" s="466">
        <v>162576</v>
      </c>
      <c r="E5" s="466">
        <v>87416</v>
      </c>
      <c r="F5" s="466">
        <v>136321</v>
      </c>
      <c r="G5" s="466">
        <v>41185</v>
      </c>
      <c r="H5" s="466"/>
      <c r="I5" s="467"/>
      <c r="J5" s="467"/>
      <c r="K5" s="1671">
        <f>SUM(C5:J5)</f>
        <v>1908779</v>
      </c>
      <c r="L5" s="466">
        <v>1921027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145467</v>
      </c>
      <c r="D7" s="467">
        <v>12062</v>
      </c>
      <c r="E7" s="467">
        <v>3410</v>
      </c>
      <c r="F7" s="467">
        <v>28272</v>
      </c>
      <c r="G7" s="467">
        <v>7246</v>
      </c>
      <c r="H7" s="467"/>
      <c r="I7" s="467"/>
      <c r="J7" s="467"/>
      <c r="K7" s="1671">
        <f t="shared" ref="K7:K32" si="0">SUM(C7:J7)</f>
        <v>196457</v>
      </c>
      <c r="L7" s="466">
        <v>212841</v>
      </c>
    </row>
    <row r="8" spans="1:14" x14ac:dyDescent="0.2">
      <c r="A8" s="1504" t="s">
        <v>164</v>
      </c>
      <c r="B8" s="614">
        <v>1200</v>
      </c>
      <c r="C8" s="466">
        <v>421304</v>
      </c>
      <c r="D8" s="466">
        <v>44423</v>
      </c>
      <c r="E8" s="466">
        <v>1834</v>
      </c>
      <c r="F8" s="466">
        <v>1170</v>
      </c>
      <c r="G8" s="466"/>
      <c r="H8" s="466"/>
      <c r="I8" s="467"/>
      <c r="J8" s="467"/>
      <c r="K8" s="1671">
        <f t="shared" si="0"/>
        <v>468731</v>
      </c>
      <c r="L8" s="466">
        <v>429143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74308</v>
      </c>
      <c r="D10" s="466">
        <v>14814</v>
      </c>
      <c r="E10" s="466">
        <v>11542</v>
      </c>
      <c r="F10" s="466">
        <v>4729</v>
      </c>
      <c r="G10" s="466">
        <v>8346</v>
      </c>
      <c r="H10" s="466"/>
      <c r="I10" s="467"/>
      <c r="J10" s="467"/>
      <c r="K10" s="1671">
        <f t="shared" si="0"/>
        <v>113739</v>
      </c>
      <c r="L10" s="466">
        <v>103702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136506</v>
      </c>
      <c r="D13" s="466">
        <v>14345</v>
      </c>
      <c r="E13" s="466">
        <v>9162</v>
      </c>
      <c r="F13" s="466">
        <v>18971</v>
      </c>
      <c r="G13" s="466">
        <v>501</v>
      </c>
      <c r="H13" s="466">
        <v>315</v>
      </c>
      <c r="I13" s="467"/>
      <c r="J13" s="467"/>
      <c r="K13" s="1671">
        <f t="shared" si="0"/>
        <v>179800</v>
      </c>
      <c r="L13" s="466">
        <v>190468</v>
      </c>
    </row>
    <row r="14" spans="1:14" x14ac:dyDescent="0.2">
      <c r="A14" s="1504" t="s">
        <v>963</v>
      </c>
      <c r="B14" s="614">
        <v>1500</v>
      </c>
      <c r="C14" s="466">
        <v>53332</v>
      </c>
      <c r="D14" s="466">
        <v>544</v>
      </c>
      <c r="E14" s="466">
        <v>34507</v>
      </c>
      <c r="F14" s="466">
        <v>22057</v>
      </c>
      <c r="G14" s="466">
        <v>4591</v>
      </c>
      <c r="H14" s="466">
        <v>7695</v>
      </c>
      <c r="I14" s="467"/>
      <c r="J14" s="467"/>
      <c r="K14" s="1671">
        <f t="shared" si="0"/>
        <v>122726</v>
      </c>
      <c r="L14" s="466">
        <v>148593</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13349</v>
      </c>
      <c r="D17" s="467">
        <v>201</v>
      </c>
      <c r="E17" s="467">
        <v>388</v>
      </c>
      <c r="F17" s="467">
        <v>959</v>
      </c>
      <c r="G17" s="467"/>
      <c r="H17" s="467"/>
      <c r="I17" s="467"/>
      <c r="J17" s="467"/>
      <c r="K17" s="1671">
        <f t="shared" si="0"/>
        <v>14897</v>
      </c>
      <c r="L17" s="466">
        <v>15962</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141234</v>
      </c>
      <c r="I22" s="616"/>
      <c r="J22" s="477"/>
      <c r="K22" s="1671">
        <f t="shared" si="0"/>
        <v>141234</v>
      </c>
      <c r="L22" s="471">
        <v>150000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v>15600</v>
      </c>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2325547</v>
      </c>
      <c r="D33" s="1670">
        <f t="shared" ref="D33:L33" si="1">SUM(D5:D32)</f>
        <v>248965</v>
      </c>
      <c r="E33" s="1670">
        <f t="shared" si="1"/>
        <v>148259</v>
      </c>
      <c r="F33" s="1670">
        <f t="shared" si="1"/>
        <v>212479</v>
      </c>
      <c r="G33" s="1670">
        <f t="shared" si="1"/>
        <v>61869</v>
      </c>
      <c r="H33" s="1670">
        <f t="shared" si="1"/>
        <v>149244</v>
      </c>
      <c r="I33" s="1670">
        <f t="shared" si="1"/>
        <v>0</v>
      </c>
      <c r="J33" s="1670">
        <f t="shared" si="1"/>
        <v>0</v>
      </c>
      <c r="K33" s="1670">
        <f t="shared" si="1"/>
        <v>3146363</v>
      </c>
      <c r="L33" s="1670">
        <f t="shared" si="1"/>
        <v>3187336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63664</v>
      </c>
      <c r="D36" s="481">
        <v>10770</v>
      </c>
      <c r="E36" s="481">
        <v>597</v>
      </c>
      <c r="F36" s="481">
        <v>4629</v>
      </c>
      <c r="G36" s="481"/>
      <c r="H36" s="481">
        <v>75</v>
      </c>
      <c r="I36" s="467"/>
      <c r="J36" s="467"/>
      <c r="K36" s="1671">
        <f t="shared" ref="K36:K41" si="2">SUM(C36:J36)</f>
        <v>79735</v>
      </c>
      <c r="L36" s="466">
        <v>108762</v>
      </c>
    </row>
    <row r="37" spans="1:14" x14ac:dyDescent="0.2">
      <c r="A37" s="1504" t="s">
        <v>1090</v>
      </c>
      <c r="B37" s="614">
        <v>2120</v>
      </c>
      <c r="C37" s="466">
        <v>40737</v>
      </c>
      <c r="D37" s="466">
        <v>6749</v>
      </c>
      <c r="E37" s="466">
        <v>1959</v>
      </c>
      <c r="F37" s="466">
        <v>515</v>
      </c>
      <c r="G37" s="466"/>
      <c r="H37" s="466"/>
      <c r="I37" s="467"/>
      <c r="J37" s="467"/>
      <c r="K37" s="1671">
        <f t="shared" si="2"/>
        <v>49960</v>
      </c>
      <c r="L37" s="466">
        <v>50262</v>
      </c>
    </row>
    <row r="38" spans="1:14" x14ac:dyDescent="0.2">
      <c r="A38" s="1504" t="s">
        <v>198</v>
      </c>
      <c r="B38" s="614">
        <v>2130</v>
      </c>
      <c r="C38" s="466">
        <v>44397</v>
      </c>
      <c r="D38" s="466">
        <v>6121</v>
      </c>
      <c r="E38" s="466">
        <v>2138</v>
      </c>
      <c r="F38" s="466">
        <v>2643</v>
      </c>
      <c r="G38" s="466"/>
      <c r="H38" s="466"/>
      <c r="I38" s="467"/>
      <c r="J38" s="467"/>
      <c r="K38" s="1671">
        <f t="shared" si="2"/>
        <v>55299</v>
      </c>
      <c r="L38" s="466">
        <v>54904</v>
      </c>
    </row>
    <row r="39" spans="1:14" x14ac:dyDescent="0.2">
      <c r="A39" s="1504" t="s">
        <v>199</v>
      </c>
      <c r="B39" s="614">
        <v>2140</v>
      </c>
      <c r="C39" s="466"/>
      <c r="D39" s="466"/>
      <c r="E39" s="466">
        <v>25048</v>
      </c>
      <c r="F39" s="466"/>
      <c r="G39" s="466"/>
      <c r="H39" s="466"/>
      <c r="I39" s="467"/>
      <c r="J39" s="467"/>
      <c r="K39" s="1671">
        <f t="shared" si="2"/>
        <v>25048</v>
      </c>
      <c r="L39" s="466">
        <v>39435</v>
      </c>
    </row>
    <row r="40" spans="1:14" x14ac:dyDescent="0.2">
      <c r="A40" s="1504" t="s">
        <v>200</v>
      </c>
      <c r="B40" s="614">
        <v>2150</v>
      </c>
      <c r="C40" s="466"/>
      <c r="D40" s="466"/>
      <c r="E40" s="466">
        <v>39325</v>
      </c>
      <c r="F40" s="466">
        <v>433</v>
      </c>
      <c r="G40" s="466"/>
      <c r="H40" s="466"/>
      <c r="I40" s="467"/>
      <c r="J40" s="467"/>
      <c r="K40" s="1671">
        <f t="shared" si="2"/>
        <v>39758</v>
      </c>
      <c r="L40" s="466">
        <v>53050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148798</v>
      </c>
      <c r="D42" s="1670">
        <f t="shared" ref="D42:L42" si="3">SUM(D36:D41)</f>
        <v>23640</v>
      </c>
      <c r="E42" s="1670">
        <f t="shared" si="3"/>
        <v>69067</v>
      </c>
      <c r="F42" s="1670">
        <f t="shared" si="3"/>
        <v>8220</v>
      </c>
      <c r="G42" s="1670">
        <f t="shared" si="3"/>
        <v>0</v>
      </c>
      <c r="H42" s="1670">
        <f t="shared" si="3"/>
        <v>75</v>
      </c>
      <c r="I42" s="1670">
        <f t="shared" si="3"/>
        <v>0</v>
      </c>
      <c r="J42" s="1670">
        <f t="shared" si="3"/>
        <v>0</v>
      </c>
      <c r="K42" s="1670">
        <f t="shared" si="3"/>
        <v>249800</v>
      </c>
      <c r="L42" s="1670">
        <f t="shared" si="3"/>
        <v>306413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600</v>
      </c>
      <c r="D44" s="481">
        <v>337</v>
      </c>
      <c r="E44" s="481">
        <v>48859</v>
      </c>
      <c r="F44" s="481">
        <v>1874</v>
      </c>
      <c r="G44" s="481"/>
      <c r="H44" s="481"/>
      <c r="I44" s="467"/>
      <c r="J44" s="467"/>
      <c r="K44" s="1672">
        <f>SUM(C44:J44)</f>
        <v>51670</v>
      </c>
      <c r="L44" s="481">
        <v>61977</v>
      </c>
    </row>
    <row r="45" spans="1:14" x14ac:dyDescent="0.2">
      <c r="A45" s="1504" t="s">
        <v>815</v>
      </c>
      <c r="B45" s="614">
        <v>2220</v>
      </c>
      <c r="C45" s="466">
        <v>8714</v>
      </c>
      <c r="D45" s="466">
        <v>74</v>
      </c>
      <c r="E45" s="466">
        <v>3140</v>
      </c>
      <c r="F45" s="466">
        <v>10001</v>
      </c>
      <c r="G45" s="466"/>
      <c r="H45" s="466"/>
      <c r="I45" s="467"/>
      <c r="J45" s="467"/>
      <c r="K45" s="1672">
        <f>SUM(C45:J45)</f>
        <v>21929</v>
      </c>
      <c r="L45" s="466">
        <v>23204</v>
      </c>
    </row>
    <row r="46" spans="1:14" x14ac:dyDescent="0.2">
      <c r="A46" s="1504" t="s">
        <v>816</v>
      </c>
      <c r="B46" s="614">
        <v>2230</v>
      </c>
      <c r="C46" s="466"/>
      <c r="D46" s="466"/>
      <c r="E46" s="466">
        <v>6488</v>
      </c>
      <c r="F46" s="466">
        <v>75</v>
      </c>
      <c r="G46" s="466"/>
      <c r="H46" s="466"/>
      <c r="I46" s="467"/>
      <c r="J46" s="467"/>
      <c r="K46" s="1672">
        <f>SUM(C46:J46)</f>
        <v>6563</v>
      </c>
      <c r="L46" s="466">
        <v>6488</v>
      </c>
    </row>
    <row r="47" spans="1:14" ht="12.75" customHeight="1" thickBot="1" x14ac:dyDescent="0.25">
      <c r="A47" s="1668" t="s">
        <v>561</v>
      </c>
      <c r="B47" s="1669" t="s">
        <v>32</v>
      </c>
      <c r="C47" s="1670">
        <f>SUM(C44:C46)</f>
        <v>9314</v>
      </c>
      <c r="D47" s="1670">
        <f t="shared" ref="D47:K47" si="4">SUM(D44:D46)</f>
        <v>411</v>
      </c>
      <c r="E47" s="1670">
        <f t="shared" si="4"/>
        <v>58487</v>
      </c>
      <c r="F47" s="1670">
        <f t="shared" si="4"/>
        <v>11950</v>
      </c>
      <c r="G47" s="1670">
        <f t="shared" si="4"/>
        <v>0</v>
      </c>
      <c r="H47" s="1670">
        <f t="shared" si="4"/>
        <v>0</v>
      </c>
      <c r="I47" s="1670">
        <f t="shared" si="4"/>
        <v>0</v>
      </c>
      <c r="J47" s="1670">
        <f t="shared" si="4"/>
        <v>0</v>
      </c>
      <c r="K47" s="1670">
        <f t="shared" si="4"/>
        <v>80162</v>
      </c>
      <c r="L47" s="1670">
        <f>SUM(L44:L46)</f>
        <v>91669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66726</v>
      </c>
      <c r="F49" s="481">
        <v>1641</v>
      </c>
      <c r="G49" s="481"/>
      <c r="H49" s="481">
        <v>5607</v>
      </c>
      <c r="I49" s="467"/>
      <c r="J49" s="467"/>
      <c r="K49" s="1672">
        <f>SUM(C49:J49)</f>
        <v>73974</v>
      </c>
      <c r="L49" s="481">
        <v>82700</v>
      </c>
    </row>
    <row r="50" spans="1:14" x14ac:dyDescent="0.2">
      <c r="A50" s="1504" t="s">
        <v>818</v>
      </c>
      <c r="B50" s="614">
        <v>2320</v>
      </c>
      <c r="C50" s="466">
        <v>150966</v>
      </c>
      <c r="D50" s="466">
        <v>2300</v>
      </c>
      <c r="E50" s="466">
        <v>3346</v>
      </c>
      <c r="F50" s="466"/>
      <c r="G50" s="466"/>
      <c r="H50" s="466"/>
      <c r="I50" s="467"/>
      <c r="J50" s="467"/>
      <c r="K50" s="1672">
        <f>SUM(C50:J50)</f>
        <v>156612</v>
      </c>
      <c r="L50" s="466">
        <v>158267</v>
      </c>
    </row>
    <row r="51" spans="1:14" x14ac:dyDescent="0.2">
      <c r="A51" s="1504" t="s">
        <v>42</v>
      </c>
      <c r="B51" s="614">
        <v>2330</v>
      </c>
      <c r="C51" s="466">
        <v>7806</v>
      </c>
      <c r="D51" s="466">
        <v>33</v>
      </c>
      <c r="E51" s="466">
        <v>7950</v>
      </c>
      <c r="F51" s="466">
        <v>3283</v>
      </c>
      <c r="G51" s="466"/>
      <c r="H51" s="466"/>
      <c r="I51" s="467"/>
      <c r="J51" s="467"/>
      <c r="K51" s="1672">
        <f>SUM(C51:J51)</f>
        <v>19072</v>
      </c>
      <c r="L51" s="466">
        <v>16724</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158772</v>
      </c>
      <c r="D53" s="1670">
        <f t="shared" ref="D53:L53" si="5">SUM(D49:D52)</f>
        <v>2333</v>
      </c>
      <c r="E53" s="1670">
        <f t="shared" si="5"/>
        <v>78022</v>
      </c>
      <c r="F53" s="1670">
        <f t="shared" si="5"/>
        <v>4924</v>
      </c>
      <c r="G53" s="1670">
        <f t="shared" si="5"/>
        <v>0</v>
      </c>
      <c r="H53" s="1670">
        <f t="shared" si="5"/>
        <v>5607</v>
      </c>
      <c r="I53" s="1670">
        <f t="shared" si="5"/>
        <v>0</v>
      </c>
      <c r="J53" s="1670">
        <f t="shared" si="5"/>
        <v>0</v>
      </c>
      <c r="K53" s="1670">
        <f t="shared" si="5"/>
        <v>249658</v>
      </c>
      <c r="L53" s="1670">
        <f t="shared" si="5"/>
        <v>257691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236005</v>
      </c>
      <c r="D55" s="481">
        <v>49242</v>
      </c>
      <c r="E55" s="481">
        <v>1898</v>
      </c>
      <c r="F55" s="481"/>
      <c r="G55" s="481">
        <v>773</v>
      </c>
      <c r="H55" s="481"/>
      <c r="I55" s="467"/>
      <c r="J55" s="467"/>
      <c r="K55" s="1672">
        <f>SUM(C55:J55)</f>
        <v>287918</v>
      </c>
      <c r="L55" s="481">
        <v>294092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236005</v>
      </c>
      <c r="D57" s="1674">
        <f t="shared" ref="D57:K57" si="6">SUM(D55:D56)</f>
        <v>49242</v>
      </c>
      <c r="E57" s="1674">
        <f t="shared" si="6"/>
        <v>1898</v>
      </c>
      <c r="F57" s="1674">
        <f t="shared" si="6"/>
        <v>0</v>
      </c>
      <c r="G57" s="1674">
        <f t="shared" si="6"/>
        <v>773</v>
      </c>
      <c r="H57" s="1674">
        <f t="shared" si="6"/>
        <v>0</v>
      </c>
      <c r="I57" s="1674">
        <f t="shared" si="6"/>
        <v>0</v>
      </c>
      <c r="J57" s="1674">
        <f t="shared" si="6"/>
        <v>0</v>
      </c>
      <c r="K57" s="1674">
        <f t="shared" si="6"/>
        <v>287918</v>
      </c>
      <c r="L57" s="1670">
        <f>SUM(L55:L56)</f>
        <v>294092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111031</v>
      </c>
      <c r="D60" s="466">
        <v>18393</v>
      </c>
      <c r="E60" s="466">
        <v>19383</v>
      </c>
      <c r="F60" s="466">
        <v>2979</v>
      </c>
      <c r="G60" s="466"/>
      <c r="H60" s="466"/>
      <c r="I60" s="467"/>
      <c r="J60" s="467"/>
      <c r="K60" s="1672">
        <f t="shared" si="7"/>
        <v>151786</v>
      </c>
      <c r="L60" s="466">
        <v>150242</v>
      </c>
      <c r="M60" s="609"/>
      <c r="N60" s="609"/>
    </row>
    <row r="61" spans="1:14" s="343" customFormat="1" x14ac:dyDescent="0.2">
      <c r="A61" s="1504" t="s">
        <v>197</v>
      </c>
      <c r="B61" s="614">
        <v>2540</v>
      </c>
      <c r="C61" s="466">
        <v>65411</v>
      </c>
      <c r="D61" s="466">
        <v>6153</v>
      </c>
      <c r="E61" s="466">
        <v>53809</v>
      </c>
      <c r="F61" s="466">
        <v>20278</v>
      </c>
      <c r="G61" s="466"/>
      <c r="H61" s="466"/>
      <c r="I61" s="467"/>
      <c r="J61" s="467"/>
      <c r="K61" s="1672">
        <f t="shared" si="7"/>
        <v>145651</v>
      </c>
      <c r="L61" s="466">
        <v>147447</v>
      </c>
      <c r="M61" s="609"/>
      <c r="N61" s="609"/>
    </row>
    <row r="62" spans="1:14" s="343" customFormat="1" x14ac:dyDescent="0.2">
      <c r="A62" s="1504" t="s">
        <v>953</v>
      </c>
      <c r="B62" s="614">
        <v>2550</v>
      </c>
      <c r="C62" s="466"/>
      <c r="D62" s="466"/>
      <c r="E62" s="466">
        <v>24192</v>
      </c>
      <c r="F62" s="466"/>
      <c r="G62" s="466"/>
      <c r="H62" s="466"/>
      <c r="I62" s="467"/>
      <c r="J62" s="467"/>
      <c r="K62" s="1672">
        <f t="shared" si="7"/>
        <v>24192</v>
      </c>
      <c r="L62" s="466">
        <v>24348</v>
      </c>
      <c r="M62" s="609"/>
      <c r="N62" s="609"/>
    </row>
    <row r="63" spans="1:14" s="609" customFormat="1" x14ac:dyDescent="0.2">
      <c r="A63" s="1504" t="s">
        <v>100</v>
      </c>
      <c r="B63" s="614">
        <v>2560</v>
      </c>
      <c r="C63" s="466">
        <v>64449</v>
      </c>
      <c r="D63" s="466">
        <v>13586</v>
      </c>
      <c r="E63" s="466">
        <v>4098</v>
      </c>
      <c r="F63" s="466">
        <v>90994</v>
      </c>
      <c r="G63" s="466">
        <v>34535</v>
      </c>
      <c r="H63" s="466"/>
      <c r="I63" s="467"/>
      <c r="J63" s="467"/>
      <c r="K63" s="1672">
        <f t="shared" si="7"/>
        <v>207662</v>
      </c>
      <c r="L63" s="466">
        <v>238543</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240891</v>
      </c>
      <c r="D65" s="1670">
        <f t="shared" ref="D65:L65" si="8">SUM(D59:D64)</f>
        <v>38132</v>
      </c>
      <c r="E65" s="1670">
        <f t="shared" si="8"/>
        <v>101482</v>
      </c>
      <c r="F65" s="1670">
        <f t="shared" si="8"/>
        <v>114251</v>
      </c>
      <c r="G65" s="1670">
        <f t="shared" si="8"/>
        <v>34535</v>
      </c>
      <c r="H65" s="1670">
        <f t="shared" si="8"/>
        <v>0</v>
      </c>
      <c r="I65" s="1670">
        <f t="shared" si="8"/>
        <v>0</v>
      </c>
      <c r="J65" s="1670">
        <f t="shared" si="8"/>
        <v>0</v>
      </c>
      <c r="K65" s="1670">
        <f t="shared" si="8"/>
        <v>529291</v>
      </c>
      <c r="L65" s="1670">
        <f t="shared" si="8"/>
        <v>560580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201</v>
      </c>
      <c r="G73" s="573"/>
      <c r="H73" s="573"/>
      <c r="I73" s="531"/>
      <c r="J73" s="531"/>
      <c r="K73" s="1670">
        <f>SUM(C73:J73)</f>
        <v>201</v>
      </c>
      <c r="L73" s="576">
        <v>200</v>
      </c>
      <c r="M73" s="609"/>
      <c r="N73" s="609"/>
    </row>
    <row r="74" spans="1:14" ht="12.75" customHeight="1" thickTop="1" thickBot="1" x14ac:dyDescent="0.25">
      <c r="A74" s="1668" t="s">
        <v>811</v>
      </c>
      <c r="B74" s="1676">
        <v>2000</v>
      </c>
      <c r="C74" s="1677">
        <f>SUM(C42,C47,C53,C57,C65,C72,C73)</f>
        <v>793780</v>
      </c>
      <c r="D74" s="1677">
        <f t="shared" ref="D74:K74" si="10">SUM(D42,D47,D53,D57,D65,D72,D73)</f>
        <v>113758</v>
      </c>
      <c r="E74" s="1677">
        <f t="shared" si="10"/>
        <v>308956</v>
      </c>
      <c r="F74" s="1677">
        <f t="shared" si="10"/>
        <v>139546</v>
      </c>
      <c r="G74" s="1677">
        <f t="shared" si="10"/>
        <v>35308</v>
      </c>
      <c r="H74" s="1677">
        <f t="shared" si="10"/>
        <v>5682</v>
      </c>
      <c r="I74" s="1677">
        <f t="shared" si="10"/>
        <v>0</v>
      </c>
      <c r="J74" s="1677">
        <f t="shared" si="10"/>
        <v>0</v>
      </c>
      <c r="K74" s="1677">
        <f t="shared" si="10"/>
        <v>1397030</v>
      </c>
      <c r="L74" s="1677">
        <f>SUM(L42,L47,L53,L57,L65,L72,L73)</f>
        <v>1510645</v>
      </c>
    </row>
    <row r="75" spans="1:14" s="259" customFormat="1" ht="15.75" customHeight="1" thickTop="1" thickBot="1" x14ac:dyDescent="0.25">
      <c r="A75" s="1610" t="s">
        <v>47</v>
      </c>
      <c r="B75" s="1611" t="s">
        <v>575</v>
      </c>
      <c r="C75" s="573">
        <v>69006</v>
      </c>
      <c r="D75" s="573">
        <v>5205</v>
      </c>
      <c r="E75" s="573">
        <v>16707</v>
      </c>
      <c r="F75" s="573">
        <v>32184</v>
      </c>
      <c r="G75" s="573">
        <v>12391</v>
      </c>
      <c r="H75" s="573"/>
      <c r="I75" s="531"/>
      <c r="J75" s="531"/>
      <c r="K75" s="1670">
        <f>SUM(C75:J75)</f>
        <v>135493</v>
      </c>
      <c r="L75" s="576">
        <v>160710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97311</v>
      </c>
      <c r="I79" s="477"/>
      <c r="J79" s="477"/>
      <c r="K79" s="1671">
        <f t="shared" si="11"/>
        <v>97311</v>
      </c>
      <c r="L79" s="466">
        <v>100023</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3055</v>
      </c>
      <c r="F83" s="616"/>
      <c r="G83" s="616"/>
      <c r="H83" s="466"/>
      <c r="I83" s="477"/>
      <c r="J83" s="477"/>
      <c r="K83" s="1671">
        <f t="shared" si="11"/>
        <v>3055</v>
      </c>
      <c r="L83" s="466">
        <v>2850</v>
      </c>
    </row>
    <row r="84" spans="1:12" ht="13.5" thickBot="1" x14ac:dyDescent="0.25">
      <c r="A84" s="1668" t="s">
        <v>1485</v>
      </c>
      <c r="B84" s="1678">
        <v>4100</v>
      </c>
      <c r="C84" s="616"/>
      <c r="D84" s="616"/>
      <c r="E84" s="1670">
        <f>SUM(E78:E83)</f>
        <v>3055</v>
      </c>
      <c r="F84" s="616"/>
      <c r="G84" s="616"/>
      <c r="H84" s="1670">
        <f>SUM(H78:H83)</f>
        <v>97311</v>
      </c>
      <c r="I84" s="477"/>
      <c r="J84" s="477"/>
      <c r="K84" s="1670">
        <f>SUM(K78:K83)</f>
        <v>100366</v>
      </c>
      <c r="L84" s="1670">
        <f>SUM(L78:L83)</f>
        <v>102873</v>
      </c>
    </row>
    <row r="85" spans="1:12" ht="12.75" customHeight="1" thickTop="1" thickBot="1" x14ac:dyDescent="0.25">
      <c r="A85" s="1511" t="s">
        <v>255</v>
      </c>
      <c r="B85" s="635">
        <v>4210</v>
      </c>
      <c r="C85" s="616"/>
      <c r="D85" s="616"/>
      <c r="E85" s="636"/>
      <c r="F85" s="616"/>
      <c r="G85" s="616"/>
      <c r="H85" s="535">
        <v>300</v>
      </c>
      <c r="I85" s="477"/>
      <c r="J85" s="477"/>
      <c r="K85" s="1677">
        <f>H85</f>
        <v>300</v>
      </c>
      <c r="L85" s="530">
        <v>1100</v>
      </c>
    </row>
    <row r="86" spans="1:12" ht="12.75" customHeight="1" thickTop="1" thickBot="1" x14ac:dyDescent="0.25">
      <c r="A86" s="1512" t="s">
        <v>699</v>
      </c>
      <c r="B86" s="637">
        <v>4220</v>
      </c>
      <c r="C86" s="616"/>
      <c r="D86" s="616"/>
      <c r="E86" s="638"/>
      <c r="F86" s="616"/>
      <c r="G86" s="616"/>
      <c r="H86" s="467">
        <v>29889</v>
      </c>
      <c r="I86" s="477"/>
      <c r="J86" s="477"/>
      <c r="K86" s="1677">
        <f t="shared" ref="K86:K98" si="12">H86</f>
        <v>29889</v>
      </c>
      <c r="L86" s="530">
        <v>6000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v>950</v>
      </c>
      <c r="I91" s="477"/>
      <c r="J91" s="477"/>
      <c r="K91" s="1677">
        <f t="shared" si="12"/>
        <v>950</v>
      </c>
      <c r="L91" s="530">
        <v>2000</v>
      </c>
    </row>
    <row r="92" spans="1:12" ht="14.25" thickTop="1" thickBot="1" x14ac:dyDescent="0.25">
      <c r="A92" s="1680" t="s">
        <v>1560</v>
      </c>
      <c r="B92" s="1678">
        <v>4200</v>
      </c>
      <c r="C92" s="616"/>
      <c r="D92" s="616"/>
      <c r="E92" s="638"/>
      <c r="F92" s="616"/>
      <c r="G92" s="616"/>
      <c r="H92" s="1670">
        <f>SUM(H85:H91)</f>
        <v>31139</v>
      </c>
      <c r="I92" s="477"/>
      <c r="J92" s="477"/>
      <c r="K92" s="1677">
        <f t="shared" si="12"/>
        <v>31139</v>
      </c>
      <c r="L92" s="1670">
        <f>SUM(L85:L91)</f>
        <v>9100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3055</v>
      </c>
      <c r="F102" s="616"/>
      <c r="G102" s="616"/>
      <c r="H102" s="1677">
        <f>SUM(H84,H92,H100,H101)</f>
        <v>128450</v>
      </c>
      <c r="I102" s="477"/>
      <c r="J102" s="477"/>
      <c r="K102" s="1677">
        <f>SUM(K84,K92,K100,K101)</f>
        <v>131505</v>
      </c>
      <c r="L102" s="1677">
        <f>SUM(L84,L92,L100,L101)</f>
        <v>111973</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3188333</v>
      </c>
      <c r="D114" s="1670">
        <f t="shared" ref="D114:K114" si="13">SUM(D33,D74,D75,D102,D112,D113)</f>
        <v>367928</v>
      </c>
      <c r="E114" s="1670">
        <f t="shared" si="13"/>
        <v>476977</v>
      </c>
      <c r="F114" s="1670">
        <f t="shared" si="13"/>
        <v>384209</v>
      </c>
      <c r="G114" s="1670">
        <f t="shared" si="13"/>
        <v>109568</v>
      </c>
      <c r="H114" s="1670">
        <f>SUM(H33,H74,H75,H102,H112,H113)</f>
        <v>283376</v>
      </c>
      <c r="I114" s="1670">
        <f t="shared" si="13"/>
        <v>0</v>
      </c>
      <c r="J114" s="1670">
        <f t="shared" si="13"/>
        <v>0</v>
      </c>
      <c r="K114" s="1670">
        <f t="shared" si="13"/>
        <v>4810391</v>
      </c>
      <c r="L114" s="1670">
        <f>SUM(L33,L74,L75,L102,L112,L113)</f>
        <v>4970664</v>
      </c>
    </row>
    <row r="115" spans="1:14" ht="13.5" thickTop="1" x14ac:dyDescent="0.2">
      <c r="A115" s="2182" t="s">
        <v>996</v>
      </c>
      <c r="B115" s="2183"/>
      <c r="C115" s="618"/>
      <c r="D115" s="618"/>
      <c r="E115" s="618"/>
      <c r="F115" s="618"/>
      <c r="G115" s="618"/>
      <c r="H115" s="618"/>
      <c r="I115" s="618"/>
      <c r="J115" s="618"/>
      <c r="K115" s="1684">
        <f>'Revenues 9-14'!C268-'Expenditures 15-22'!K114</f>
        <v>72212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117923</v>
      </c>
      <c r="D124" s="466">
        <v>18958</v>
      </c>
      <c r="E124" s="466">
        <v>115820</v>
      </c>
      <c r="F124" s="466">
        <v>148402</v>
      </c>
      <c r="G124" s="466">
        <v>5081</v>
      </c>
      <c r="H124" s="466"/>
      <c r="I124" s="467"/>
      <c r="J124" s="467"/>
      <c r="K124" s="1670">
        <f>SUM(C124:J124)</f>
        <v>406184</v>
      </c>
      <c r="L124" s="466">
        <v>489362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117923</v>
      </c>
      <c r="D127" s="1670">
        <f t="shared" ref="D127:L127" si="14">SUM(D122:D126)</f>
        <v>18958</v>
      </c>
      <c r="E127" s="1670">
        <f t="shared" si="14"/>
        <v>115820</v>
      </c>
      <c r="F127" s="1670">
        <f t="shared" si="14"/>
        <v>148402</v>
      </c>
      <c r="G127" s="1670">
        <f t="shared" si="14"/>
        <v>5081</v>
      </c>
      <c r="H127" s="1670">
        <f t="shared" si="14"/>
        <v>0</v>
      </c>
      <c r="I127" s="1670">
        <f t="shared" si="14"/>
        <v>0</v>
      </c>
      <c r="J127" s="1670">
        <f t="shared" si="14"/>
        <v>0</v>
      </c>
      <c r="K127" s="1670">
        <f t="shared" si="14"/>
        <v>406184</v>
      </c>
      <c r="L127" s="1670">
        <f t="shared" si="14"/>
        <v>489362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117923</v>
      </c>
      <c r="D129" s="1677">
        <f t="shared" ref="D129:L129" si="15">SUM(D120,D127,D128)</f>
        <v>18958</v>
      </c>
      <c r="E129" s="1677">
        <f t="shared" si="15"/>
        <v>115820</v>
      </c>
      <c r="F129" s="1677">
        <f t="shared" si="15"/>
        <v>148402</v>
      </c>
      <c r="G129" s="1677">
        <f t="shared" si="15"/>
        <v>5081</v>
      </c>
      <c r="H129" s="1677">
        <f t="shared" si="15"/>
        <v>0</v>
      </c>
      <c r="I129" s="1677">
        <f t="shared" si="15"/>
        <v>0</v>
      </c>
      <c r="J129" s="1677">
        <f t="shared" si="15"/>
        <v>0</v>
      </c>
      <c r="K129" s="1677">
        <f t="shared" si="15"/>
        <v>406184</v>
      </c>
      <c r="L129" s="1677">
        <f t="shared" si="15"/>
        <v>489362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70">
        <f>SUM(C129,C130,C139,C149,C150)</f>
        <v>117923</v>
      </c>
      <c r="D151" s="1670">
        <f t="shared" ref="D151:K151" si="16">SUM(D129,D130,D139,D149,D150)</f>
        <v>18958</v>
      </c>
      <c r="E151" s="1670">
        <f t="shared" si="16"/>
        <v>115820</v>
      </c>
      <c r="F151" s="1670">
        <f t="shared" si="16"/>
        <v>148402</v>
      </c>
      <c r="G151" s="1670">
        <f t="shared" si="16"/>
        <v>5081</v>
      </c>
      <c r="H151" s="1670">
        <f t="shared" si="16"/>
        <v>0</v>
      </c>
      <c r="I151" s="1670">
        <f t="shared" si="16"/>
        <v>0</v>
      </c>
      <c r="J151" s="1670">
        <f t="shared" si="16"/>
        <v>0</v>
      </c>
      <c r="K151" s="1670">
        <f t="shared" si="16"/>
        <v>406184</v>
      </c>
      <c r="L151" s="1670">
        <f>SUM(L129,L130,L139,L149,L150)</f>
        <v>489362</v>
      </c>
    </row>
    <row r="152" spans="1:14" ht="12.75" customHeight="1" thickTop="1" x14ac:dyDescent="0.2">
      <c r="A152" s="2175" t="s">
        <v>1178</v>
      </c>
      <c r="B152" s="2176"/>
      <c r="C152" s="618"/>
      <c r="D152" s="618"/>
      <c r="E152" s="618"/>
      <c r="F152" s="618"/>
      <c r="G152" s="618"/>
      <c r="H152" s="618"/>
      <c r="I152" s="618"/>
      <c r="J152" s="616"/>
      <c r="K152" s="1684">
        <f>'Revenues 9-14'!D268-'Expenditures 15-22'!K151</f>
        <v>464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34438</v>
      </c>
      <c r="I169" s="616"/>
      <c r="J169" s="616"/>
      <c r="K169" s="1671">
        <f>SUM(C169:H169)</f>
        <v>34438</v>
      </c>
      <c r="L169" s="656">
        <v>34438</v>
      </c>
    </row>
    <row r="170" spans="1:14" ht="33.75" customHeight="1" x14ac:dyDescent="0.2">
      <c r="A170" s="669" t="s">
        <v>1670</v>
      </c>
      <c r="B170" s="671" t="s">
        <v>31</v>
      </c>
      <c r="C170" s="616"/>
      <c r="D170" s="616"/>
      <c r="E170" s="616"/>
      <c r="F170" s="616"/>
      <c r="G170" s="616"/>
      <c r="H170" s="569">
        <v>185000</v>
      </c>
      <c r="I170" s="616"/>
      <c r="J170" s="616"/>
      <c r="K170" s="1671">
        <f>SUM(C170:J170)</f>
        <v>185000</v>
      </c>
      <c r="L170" s="569">
        <v>185000</v>
      </c>
    </row>
    <row r="171" spans="1:14" ht="15.75" customHeight="1" x14ac:dyDescent="0.2">
      <c r="A171" s="621" t="s">
        <v>766</v>
      </c>
      <c r="B171" s="672" t="s">
        <v>84</v>
      </c>
      <c r="C171" s="616"/>
      <c r="D171" s="616"/>
      <c r="E171" s="466"/>
      <c r="F171" s="616"/>
      <c r="G171" s="616"/>
      <c r="H171" s="569">
        <v>636</v>
      </c>
      <c r="I171" s="477"/>
      <c r="J171" s="616"/>
      <c r="K171" s="1671">
        <f>SUM(C171:J171)</f>
        <v>636</v>
      </c>
      <c r="L171" s="569">
        <v>636</v>
      </c>
    </row>
    <row r="172" spans="1:14" ht="12.75" customHeight="1" thickBot="1" x14ac:dyDescent="0.25">
      <c r="A172" s="1668" t="s">
        <v>638</v>
      </c>
      <c r="B172" s="1669" t="s">
        <v>492</v>
      </c>
      <c r="C172" s="616"/>
      <c r="D172" s="616"/>
      <c r="E172" s="1677">
        <f>SUM(E168,E169,E170,E171)</f>
        <v>0</v>
      </c>
      <c r="F172" s="616"/>
      <c r="G172" s="616"/>
      <c r="H172" s="1677">
        <f>SUM(H168,H169,H170,H171)</f>
        <v>220074</v>
      </c>
      <c r="I172" s="638"/>
      <c r="J172" s="616"/>
      <c r="K172" s="1677">
        <f>SUM(K168,K169,K170,K171)</f>
        <v>220074</v>
      </c>
      <c r="L172" s="1677">
        <f>SUM(L168,L169,L170,L171)</f>
        <v>220074</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220074</v>
      </c>
      <c r="I174" s="638"/>
      <c r="J174" s="616"/>
      <c r="K174" s="1677">
        <f>SUM(K160,K172,K173)</f>
        <v>220074</v>
      </c>
      <c r="L174" s="1677">
        <f>SUM(L160,L172,L173)</f>
        <v>220074</v>
      </c>
    </row>
    <row r="175" spans="1:14" ht="13.5" thickTop="1" x14ac:dyDescent="0.2">
      <c r="A175" s="2182" t="s">
        <v>996</v>
      </c>
      <c r="B175" s="2183"/>
      <c r="C175" s="616"/>
      <c r="D175" s="616"/>
      <c r="E175" s="616"/>
      <c r="F175" s="616"/>
      <c r="G175" s="616"/>
      <c r="H175" s="618"/>
      <c r="I175" s="616"/>
      <c r="J175" s="616"/>
      <c r="K175" s="1684">
        <f>'Revenues 9-14'!E268-'Expenditures 15-22'!K174</f>
        <v>-54557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186078</v>
      </c>
      <c r="D182" s="466">
        <v>27697</v>
      </c>
      <c r="E182" s="466">
        <v>16869</v>
      </c>
      <c r="F182" s="466">
        <v>50797</v>
      </c>
      <c r="G182" s="466">
        <v>66014</v>
      </c>
      <c r="H182" s="466"/>
      <c r="I182" s="467"/>
      <c r="J182" s="467"/>
      <c r="K182" s="1671">
        <f>SUM(C182:J182)</f>
        <v>347455</v>
      </c>
      <c r="L182" s="466">
        <v>375054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186078</v>
      </c>
      <c r="D184" s="1677">
        <f t="shared" ref="D184:J184" si="17">SUM(D180,D182,D183)</f>
        <v>27697</v>
      </c>
      <c r="E184" s="1677">
        <f t="shared" si="17"/>
        <v>16869</v>
      </c>
      <c r="F184" s="1677">
        <f t="shared" si="17"/>
        <v>50797</v>
      </c>
      <c r="G184" s="1677">
        <f t="shared" si="17"/>
        <v>66014</v>
      </c>
      <c r="H184" s="1677">
        <f t="shared" si="17"/>
        <v>0</v>
      </c>
      <c r="I184" s="1677">
        <f t="shared" si="17"/>
        <v>0</v>
      </c>
      <c r="J184" s="1677">
        <f t="shared" si="17"/>
        <v>0</v>
      </c>
      <c r="K184" s="1677">
        <f>SUM(K180,K182,K183)</f>
        <v>347455</v>
      </c>
      <c r="L184" s="1677">
        <f>SUM(L180, L182:L183)</f>
        <v>375054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186078</v>
      </c>
      <c r="D210" s="1670">
        <f>SUM(D184,D185)</f>
        <v>27697</v>
      </c>
      <c r="E210" s="1670">
        <f>SUM(E184,E185,E196)</f>
        <v>16869</v>
      </c>
      <c r="F210" s="1670">
        <f>SUM(F184,F185)</f>
        <v>50797</v>
      </c>
      <c r="G210" s="1670">
        <f>SUM(G184,G185)</f>
        <v>66014</v>
      </c>
      <c r="H210" s="1670">
        <f>SUM(H184,H185,H196,H208,H209)</f>
        <v>0</v>
      </c>
      <c r="I210" s="1670">
        <f>SUM(I184,I185)</f>
        <v>0</v>
      </c>
      <c r="J210" s="1670">
        <f>SUM(J184,J185)</f>
        <v>0</v>
      </c>
      <c r="K210" s="1671">
        <f>SUM(K184,K185,K196,K208,K209)</f>
        <v>347455</v>
      </c>
      <c r="L210" s="1670">
        <f>SUM(L184,L185,L196,L208,L209)</f>
        <v>375054</v>
      </c>
    </row>
    <row r="211" spans="1:14" ht="13.5" thickTop="1" x14ac:dyDescent="0.2">
      <c r="A211" s="2182" t="s">
        <v>996</v>
      </c>
      <c r="B211" s="2183"/>
      <c r="C211" s="618"/>
      <c r="D211" s="618"/>
      <c r="E211" s="618"/>
      <c r="F211" s="618"/>
      <c r="G211" s="618"/>
      <c r="H211" s="618"/>
      <c r="I211" s="616"/>
      <c r="J211" s="616"/>
      <c r="K211" s="1684">
        <f>'Revenues 9-14'!F268-'Expenditures 15-22'!K210</f>
        <v>927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21432</v>
      </c>
      <c r="E215" s="616"/>
      <c r="F215" s="616"/>
      <c r="G215" s="616"/>
      <c r="H215" s="616"/>
      <c r="I215" s="616"/>
      <c r="J215" s="616"/>
      <c r="K215" s="1671">
        <f>D215</f>
        <v>21432</v>
      </c>
      <c r="L215" s="466">
        <v>22142</v>
      </c>
    </row>
    <row r="216" spans="1:14" x14ac:dyDescent="0.2">
      <c r="A216" s="1504" t="s">
        <v>163</v>
      </c>
      <c r="B216" s="614" t="s">
        <v>967</v>
      </c>
      <c r="C216" s="616"/>
      <c r="D216" s="467">
        <v>9068</v>
      </c>
      <c r="E216" s="616"/>
      <c r="F216" s="616"/>
      <c r="G216" s="616"/>
      <c r="H216" s="616"/>
      <c r="I216" s="616"/>
      <c r="J216" s="616"/>
      <c r="K216" s="1671">
        <f t="shared" ref="K216:K228" si="19">D216</f>
        <v>9068</v>
      </c>
      <c r="L216" s="466">
        <v>12389</v>
      </c>
    </row>
    <row r="217" spans="1:14" x14ac:dyDescent="0.2">
      <c r="A217" s="1504" t="s">
        <v>164</v>
      </c>
      <c r="B217" s="614">
        <v>1200</v>
      </c>
      <c r="C217" s="616"/>
      <c r="D217" s="466">
        <v>21325</v>
      </c>
      <c r="E217" s="616"/>
      <c r="F217" s="616"/>
      <c r="G217" s="616"/>
      <c r="H217" s="616"/>
      <c r="I217" s="616"/>
      <c r="J217" s="616"/>
      <c r="K217" s="1671">
        <f t="shared" si="19"/>
        <v>21325</v>
      </c>
      <c r="L217" s="466">
        <v>21400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1061</v>
      </c>
      <c r="E219" s="616"/>
      <c r="F219" s="616"/>
      <c r="G219" s="616"/>
      <c r="H219" s="616"/>
      <c r="I219" s="616"/>
      <c r="J219" s="616"/>
      <c r="K219" s="1671">
        <f t="shared" si="19"/>
        <v>1061</v>
      </c>
      <c r="L219" s="466">
        <v>950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1964</v>
      </c>
      <c r="E222" s="616"/>
      <c r="F222" s="616"/>
      <c r="G222" s="616"/>
      <c r="H222" s="616"/>
      <c r="I222" s="616"/>
      <c r="J222" s="616"/>
      <c r="K222" s="1671">
        <f t="shared" si="19"/>
        <v>1964</v>
      </c>
      <c r="L222" s="466">
        <v>1989</v>
      </c>
    </row>
    <row r="223" spans="1:14" x14ac:dyDescent="0.2">
      <c r="A223" s="1504" t="s">
        <v>963</v>
      </c>
      <c r="B223" s="614">
        <v>1500</v>
      </c>
      <c r="C223" s="616"/>
      <c r="D223" s="466">
        <v>1897</v>
      </c>
      <c r="E223" s="616"/>
      <c r="F223" s="616"/>
      <c r="G223" s="616"/>
      <c r="H223" s="616"/>
      <c r="I223" s="616"/>
      <c r="J223" s="616"/>
      <c r="K223" s="1671">
        <f t="shared" si="19"/>
        <v>1897</v>
      </c>
      <c r="L223" s="466">
        <v>1810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192</v>
      </c>
      <c r="E226" s="616"/>
      <c r="F226" s="616"/>
      <c r="G226" s="616"/>
      <c r="H226" s="616"/>
      <c r="I226" s="616"/>
      <c r="J226" s="616"/>
      <c r="K226" s="1671">
        <f t="shared" si="19"/>
        <v>192</v>
      </c>
      <c r="L226" s="466">
        <v>200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56939</v>
      </c>
      <c r="E229" s="616"/>
      <c r="F229" s="616"/>
      <c r="G229" s="616"/>
      <c r="H229" s="616"/>
      <c r="I229" s="616"/>
      <c r="J229" s="616"/>
      <c r="K229" s="1670">
        <f>SUM(K215:K228)</f>
        <v>56939</v>
      </c>
      <c r="L229" s="1670">
        <f>SUM(L215:L228)</f>
        <v>60880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906</v>
      </c>
      <c r="E232" s="616"/>
      <c r="F232" s="616"/>
      <c r="G232" s="616"/>
      <c r="H232" s="616"/>
      <c r="I232" s="616"/>
      <c r="J232" s="616"/>
      <c r="K232" s="1671">
        <f t="shared" ref="K232:K237" si="20">D232</f>
        <v>906</v>
      </c>
      <c r="L232" s="466">
        <v>1322</v>
      </c>
    </row>
    <row r="233" spans="1:12" x14ac:dyDescent="0.2">
      <c r="A233" s="1504" t="s">
        <v>1090</v>
      </c>
      <c r="B233" s="614">
        <v>2120</v>
      </c>
      <c r="C233" s="616"/>
      <c r="D233" s="466">
        <v>571</v>
      </c>
      <c r="E233" s="616"/>
      <c r="F233" s="616"/>
      <c r="G233" s="616"/>
      <c r="H233" s="616"/>
      <c r="I233" s="616"/>
      <c r="J233" s="616"/>
      <c r="K233" s="1671">
        <f t="shared" si="20"/>
        <v>571</v>
      </c>
      <c r="L233" s="466">
        <v>592</v>
      </c>
    </row>
    <row r="234" spans="1:12" x14ac:dyDescent="0.2">
      <c r="A234" s="1504" t="s">
        <v>198</v>
      </c>
      <c r="B234" s="614">
        <v>2130</v>
      </c>
      <c r="C234" s="616"/>
      <c r="D234" s="466">
        <v>8224</v>
      </c>
      <c r="E234" s="616"/>
      <c r="F234" s="616"/>
      <c r="G234" s="616"/>
      <c r="H234" s="616"/>
      <c r="I234" s="616"/>
      <c r="J234" s="616"/>
      <c r="K234" s="1671">
        <f t="shared" si="20"/>
        <v>8224</v>
      </c>
      <c r="L234" s="466">
        <v>6652</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9701</v>
      </c>
      <c r="E238" s="616"/>
      <c r="F238" s="616"/>
      <c r="G238" s="616"/>
      <c r="H238" s="616"/>
      <c r="I238" s="616"/>
      <c r="J238" s="616"/>
      <c r="K238" s="1670">
        <f>SUM(K232:K237)</f>
        <v>9701</v>
      </c>
      <c r="L238" s="1670">
        <f>SUM(L232:L237)</f>
        <v>8566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9</v>
      </c>
      <c r="E240" s="616"/>
      <c r="F240" s="616"/>
      <c r="G240" s="616"/>
      <c r="H240" s="616"/>
      <c r="I240" s="616"/>
      <c r="J240" s="616"/>
      <c r="K240" s="1672">
        <f>D240</f>
        <v>9</v>
      </c>
      <c r="L240" s="481">
        <v>63</v>
      </c>
    </row>
    <row r="241" spans="1:12" x14ac:dyDescent="0.2">
      <c r="A241" s="1504" t="s">
        <v>815</v>
      </c>
      <c r="B241" s="614">
        <v>2220</v>
      </c>
      <c r="C241" s="616"/>
      <c r="D241" s="466">
        <v>934</v>
      </c>
      <c r="E241" s="616"/>
      <c r="F241" s="616"/>
      <c r="G241" s="616"/>
      <c r="H241" s="616"/>
      <c r="I241" s="616"/>
      <c r="J241" s="616"/>
      <c r="K241" s="1672">
        <f>D241</f>
        <v>934</v>
      </c>
      <c r="L241" s="466">
        <v>922</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943</v>
      </c>
      <c r="E243" s="616"/>
      <c r="F243" s="616"/>
      <c r="G243" s="616"/>
      <c r="H243" s="616"/>
      <c r="I243" s="616"/>
      <c r="J243" s="616"/>
      <c r="K243" s="1670">
        <f>SUM(K240:K242)</f>
        <v>943</v>
      </c>
      <c r="L243" s="1670">
        <f>SUM(L240:L242)</f>
        <v>985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2172</v>
      </c>
      <c r="E246" s="616"/>
      <c r="F246" s="616"/>
      <c r="G246" s="616"/>
      <c r="H246" s="616"/>
      <c r="I246" s="616"/>
      <c r="J246" s="616"/>
      <c r="K246" s="1672">
        <f t="shared" ref="K246:K256" si="21">D246</f>
        <v>2172</v>
      </c>
      <c r="L246" s="466">
        <v>2189</v>
      </c>
    </row>
    <row r="247" spans="1:12" x14ac:dyDescent="0.2">
      <c r="A247" s="1504" t="s">
        <v>819</v>
      </c>
      <c r="B247" s="614">
        <v>2330</v>
      </c>
      <c r="C247" s="616"/>
      <c r="D247" s="466">
        <v>1442</v>
      </c>
      <c r="E247" s="616"/>
      <c r="F247" s="616"/>
      <c r="G247" s="616"/>
      <c r="H247" s="616"/>
      <c r="I247" s="616"/>
      <c r="J247" s="616"/>
      <c r="K247" s="1672">
        <f t="shared" si="21"/>
        <v>1442</v>
      </c>
      <c r="L247" s="466">
        <v>1686</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3614</v>
      </c>
      <c r="E257" s="616"/>
      <c r="F257" s="616"/>
      <c r="G257" s="616"/>
      <c r="H257" s="616"/>
      <c r="I257" s="616"/>
      <c r="J257" s="616"/>
      <c r="K257" s="1670">
        <f>SUM(K245:K256)</f>
        <v>3614</v>
      </c>
      <c r="L257" s="1670">
        <f>SUM(L245:L256)</f>
        <v>3875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13329</v>
      </c>
      <c r="E259" s="616"/>
      <c r="F259" s="616"/>
      <c r="G259" s="616"/>
      <c r="H259" s="616"/>
      <c r="I259" s="616"/>
      <c r="J259" s="616"/>
      <c r="K259" s="1672">
        <f>D259</f>
        <v>13329</v>
      </c>
      <c r="L259" s="481">
        <v>13153</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13329</v>
      </c>
      <c r="E261" s="616"/>
      <c r="F261" s="616"/>
      <c r="G261" s="616"/>
      <c r="H261" s="616"/>
      <c r="I261" s="616"/>
      <c r="J261" s="616"/>
      <c r="K261" s="1670">
        <f>SUM(K259:K260)</f>
        <v>13329</v>
      </c>
      <c r="L261" s="1670">
        <f>SUM(L259:L260)</f>
        <v>13153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20781</v>
      </c>
      <c r="E264" s="616"/>
      <c r="F264" s="616"/>
      <c r="G264" s="616"/>
      <c r="H264" s="616"/>
      <c r="I264" s="616"/>
      <c r="J264" s="616"/>
      <c r="K264" s="1672">
        <f t="shared" ref="K264:K269" si="22">D264</f>
        <v>20781</v>
      </c>
      <c r="L264" s="466">
        <v>20062</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32564</v>
      </c>
      <c r="E266" s="616"/>
      <c r="F266" s="616"/>
      <c r="G266" s="616"/>
      <c r="H266" s="616"/>
      <c r="I266" s="616"/>
      <c r="J266" s="616"/>
      <c r="K266" s="1672">
        <f t="shared" si="22"/>
        <v>32564</v>
      </c>
      <c r="L266" s="466">
        <v>30787</v>
      </c>
    </row>
    <row r="267" spans="1:14" x14ac:dyDescent="0.2">
      <c r="A267" s="1504" t="s">
        <v>953</v>
      </c>
      <c r="B267" s="614">
        <v>2550</v>
      </c>
      <c r="C267" s="616"/>
      <c r="D267" s="466">
        <v>33895</v>
      </c>
      <c r="E267" s="616"/>
      <c r="F267" s="616"/>
      <c r="G267" s="616"/>
      <c r="H267" s="616"/>
      <c r="I267" s="616"/>
      <c r="J267" s="616"/>
      <c r="K267" s="1672">
        <f t="shared" si="22"/>
        <v>33895</v>
      </c>
      <c r="L267" s="466">
        <v>36431</v>
      </c>
    </row>
    <row r="268" spans="1:14" x14ac:dyDescent="0.2">
      <c r="A268" s="1504" t="s">
        <v>100</v>
      </c>
      <c r="B268" s="614">
        <v>2560</v>
      </c>
      <c r="C268" s="616"/>
      <c r="D268" s="466">
        <v>12073</v>
      </c>
      <c r="E268" s="616"/>
      <c r="F268" s="616"/>
      <c r="G268" s="616"/>
      <c r="H268" s="616"/>
      <c r="I268" s="616"/>
      <c r="J268" s="616"/>
      <c r="K268" s="1672">
        <f t="shared" si="22"/>
        <v>12073</v>
      </c>
      <c r="L268" s="466">
        <v>13147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99313</v>
      </c>
      <c r="E270" s="616"/>
      <c r="F270" s="616"/>
      <c r="G270" s="616"/>
      <c r="H270" s="616"/>
      <c r="I270" s="616"/>
      <c r="J270" s="616"/>
      <c r="K270" s="1670">
        <f>SUM(K263:K269)</f>
        <v>99313</v>
      </c>
      <c r="L270" s="1670">
        <f>SUM(L263:L269)</f>
        <v>100427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126900</v>
      </c>
      <c r="E279" s="616"/>
      <c r="F279" s="616"/>
      <c r="G279" s="616"/>
      <c r="H279" s="616"/>
      <c r="I279" s="616"/>
      <c r="J279" s="616"/>
      <c r="K279" s="1677">
        <f>SUM(K238,K243,K257,K261,K270,K277,K278)</f>
        <v>126900</v>
      </c>
      <c r="L279" s="1677">
        <f>SUM(L238,L243,L257,L261,L270,L277,L278)</f>
        <v>127006</v>
      </c>
    </row>
    <row r="280" spans="1:12" ht="15.75" customHeight="1" thickTop="1" thickBot="1" x14ac:dyDescent="0.25">
      <c r="A280" s="1624" t="s">
        <v>875</v>
      </c>
      <c r="B280" s="1613">
        <v>3000</v>
      </c>
      <c r="C280" s="616"/>
      <c r="D280" s="576">
        <v>10160</v>
      </c>
      <c r="E280" s="616"/>
      <c r="F280" s="616"/>
      <c r="G280" s="616"/>
      <c r="H280" s="616"/>
      <c r="I280" s="616"/>
      <c r="J280" s="616"/>
      <c r="K280" s="1679">
        <f>D280</f>
        <v>10160</v>
      </c>
      <c r="L280" s="576">
        <v>9387</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193999</v>
      </c>
      <c r="E295" s="616"/>
      <c r="F295" s="616"/>
      <c r="G295" s="616"/>
      <c r="H295" s="1670">
        <f>H293</f>
        <v>0</v>
      </c>
      <c r="I295" s="616"/>
      <c r="J295" s="616"/>
      <c r="K295" s="1670">
        <f>SUM(K229,K279,K280,K285,K293,K294)</f>
        <v>193999</v>
      </c>
      <c r="L295" s="1670">
        <f>SUM(L229,L279,L280,L285,L293,L294)</f>
        <v>197273</v>
      </c>
    </row>
    <row r="296" spans="1:14" ht="13.5" thickTop="1" x14ac:dyDescent="0.2">
      <c r="A296" s="2182" t="s">
        <v>996</v>
      </c>
      <c r="B296" s="2183"/>
      <c r="C296" s="616"/>
      <c r="D296" s="618"/>
      <c r="E296" s="616"/>
      <c r="F296" s="616"/>
      <c r="G296" s="616"/>
      <c r="H296" s="687"/>
      <c r="I296" s="616"/>
      <c r="J296" s="616"/>
      <c r="K296" s="1684">
        <f>'Revenues 9-14'!G268-'Expenditures 15-22'!K295</f>
        <v>22175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25757</v>
      </c>
      <c r="F301" s="466">
        <v>1867</v>
      </c>
      <c r="G301" s="466">
        <v>209726</v>
      </c>
      <c r="H301" s="466"/>
      <c r="I301" s="467"/>
      <c r="J301" s="467"/>
      <c r="K301" s="1671">
        <f>SUM(C301:J301)</f>
        <v>237350</v>
      </c>
      <c r="L301" s="467">
        <v>406034</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25757</v>
      </c>
      <c r="F303" s="1677">
        <f t="shared" si="23"/>
        <v>1867</v>
      </c>
      <c r="G303" s="1677">
        <f t="shared" si="23"/>
        <v>209726</v>
      </c>
      <c r="H303" s="1677">
        <f t="shared" si="23"/>
        <v>0</v>
      </c>
      <c r="I303" s="1677">
        <f t="shared" si="23"/>
        <v>0</v>
      </c>
      <c r="J303" s="1677">
        <f t="shared" si="23"/>
        <v>0</v>
      </c>
      <c r="K303" s="1677">
        <f t="shared" si="23"/>
        <v>237350</v>
      </c>
      <c r="L303" s="1677">
        <f t="shared" si="23"/>
        <v>406034</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25757</v>
      </c>
      <c r="F312" s="1670">
        <f>SUM(F303)</f>
        <v>1867</v>
      </c>
      <c r="G312" s="1670">
        <f>SUM(G303)</f>
        <v>209726</v>
      </c>
      <c r="H312" s="1670">
        <f>SUM(H303,H310)</f>
        <v>0</v>
      </c>
      <c r="I312" s="1670">
        <f>SUM(I303)</f>
        <v>0</v>
      </c>
      <c r="J312" s="1670">
        <f>SUM(J303)</f>
        <v>0</v>
      </c>
      <c r="K312" s="1670">
        <f>SUM(K303,K310,K311)</f>
        <v>237350</v>
      </c>
      <c r="L312" s="1670">
        <f>SUM(L303,L310,L311)</f>
        <v>406034</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-49722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22239</v>
      </c>
      <c r="F320" s="467"/>
      <c r="G320" s="467"/>
      <c r="H320" s="467"/>
      <c r="I320" s="467"/>
      <c r="J320" s="467"/>
      <c r="K320" s="1671">
        <f t="shared" ref="K320:K327" si="24">SUM(C320:J320)</f>
        <v>22239</v>
      </c>
      <c r="L320" s="467">
        <v>22239</v>
      </c>
      <c r="M320" s="665"/>
      <c r="N320" s="665"/>
    </row>
    <row r="321" spans="1:14" s="674" customFormat="1" x14ac:dyDescent="0.2">
      <c r="A321" s="1519" t="s">
        <v>300</v>
      </c>
      <c r="B321" s="697" t="s">
        <v>283</v>
      </c>
      <c r="C321" s="467"/>
      <c r="D321" s="467"/>
      <c r="E321" s="467">
        <v>8977</v>
      </c>
      <c r="F321" s="467"/>
      <c r="G321" s="467"/>
      <c r="H321" s="467"/>
      <c r="I321" s="467"/>
      <c r="J321" s="467"/>
      <c r="K321" s="1671">
        <f t="shared" si="24"/>
        <v>8977</v>
      </c>
      <c r="L321" s="467">
        <v>25000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2295</v>
      </c>
      <c r="F325" s="467"/>
      <c r="G325" s="467"/>
      <c r="H325" s="467"/>
      <c r="I325" s="467"/>
      <c r="J325" s="467"/>
      <c r="K325" s="1671">
        <f t="shared" si="24"/>
        <v>2295</v>
      </c>
      <c r="L325" s="467">
        <v>2295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33511</v>
      </c>
      <c r="F330" s="1670">
        <f t="shared" si="25"/>
        <v>0</v>
      </c>
      <c r="G330" s="1670">
        <f t="shared" si="25"/>
        <v>0</v>
      </c>
      <c r="H330" s="1670">
        <f t="shared" si="25"/>
        <v>0</v>
      </c>
      <c r="I330" s="1670">
        <f t="shared" si="25"/>
        <v>0</v>
      </c>
      <c r="J330" s="1670">
        <f t="shared" si="25"/>
        <v>0</v>
      </c>
      <c r="K330" s="1670">
        <f>SUM(K319:K329)</f>
        <v>33511</v>
      </c>
      <c r="L330" s="1670">
        <f>SUM(L319:L329)</f>
        <v>49534</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33511</v>
      </c>
      <c r="F342" s="1670">
        <f>SUM(F330)</f>
        <v>0</v>
      </c>
      <c r="G342" s="1670">
        <f>SUM(G330)</f>
        <v>0</v>
      </c>
      <c r="H342" s="1670">
        <f>SUM(H330,H334,H340)</f>
        <v>0</v>
      </c>
      <c r="I342" s="1670">
        <f>SUM(I330)</f>
        <v>0</v>
      </c>
      <c r="J342" s="1670">
        <f>SUM(J330)</f>
        <v>0</v>
      </c>
      <c r="K342" s="1670">
        <f>SUM(K330,K334,K340)</f>
        <v>33511</v>
      </c>
      <c r="L342" s="1677">
        <f>SUM(L330,L340,L341)</f>
        <v>49534</v>
      </c>
    </row>
    <row r="343" spans="1:14" ht="12.75" customHeight="1" thickTop="1" x14ac:dyDescent="0.2">
      <c r="A343" s="2168" t="s">
        <v>996</v>
      </c>
      <c r="B343" s="2169"/>
      <c r="C343" s="616"/>
      <c r="D343" s="616"/>
      <c r="E343" s="616"/>
      <c r="F343" s="616"/>
      <c r="G343" s="616"/>
      <c r="H343" s="616"/>
      <c r="I343" s="616"/>
      <c r="J343" s="616"/>
      <c r="K343" s="1684">
        <f>'Revenues 9-14'!J268-'Expenditures 15-22'!K342</f>
        <v>10158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1713</v>
      </c>
      <c r="F348" s="466"/>
      <c r="G348" s="466"/>
      <c r="H348" s="466"/>
      <c r="I348" s="467"/>
      <c r="J348" s="467"/>
      <c r="K348" s="1671">
        <f>SUM(C348:J348)</f>
        <v>1713</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1713</v>
      </c>
      <c r="F350" s="1670">
        <f t="shared" si="26"/>
        <v>0</v>
      </c>
      <c r="G350" s="1670">
        <f t="shared" si="26"/>
        <v>0</v>
      </c>
      <c r="H350" s="1670">
        <f t="shared" si="26"/>
        <v>0</v>
      </c>
      <c r="I350" s="1670">
        <f t="shared" si="26"/>
        <v>0</v>
      </c>
      <c r="J350" s="1670">
        <f t="shared" si="26"/>
        <v>0</v>
      </c>
      <c r="K350" s="1670">
        <f t="shared" si="26"/>
        <v>1713</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1713</v>
      </c>
      <c r="F352" s="1670">
        <f t="shared" si="27"/>
        <v>0</v>
      </c>
      <c r="G352" s="1670">
        <f t="shared" si="27"/>
        <v>0</v>
      </c>
      <c r="H352" s="1670">
        <f t="shared" si="27"/>
        <v>0</v>
      </c>
      <c r="I352" s="1670">
        <f t="shared" si="27"/>
        <v>0</v>
      </c>
      <c r="J352" s="1670">
        <f t="shared" si="27"/>
        <v>0</v>
      </c>
      <c r="K352" s="1670">
        <f t="shared" si="27"/>
        <v>1713</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1713</v>
      </c>
      <c r="F367" s="1670">
        <f t="shared" si="28"/>
        <v>0</v>
      </c>
      <c r="G367" s="1670">
        <f t="shared" si="28"/>
        <v>0</v>
      </c>
      <c r="H367" s="1670">
        <f t="shared" si="28"/>
        <v>0</v>
      </c>
      <c r="I367" s="1670">
        <f t="shared" si="28"/>
        <v>0</v>
      </c>
      <c r="J367" s="1670">
        <f t="shared" si="28"/>
        <v>0</v>
      </c>
      <c r="K367" s="1670">
        <f t="shared" si="28"/>
        <v>1713</v>
      </c>
      <c r="L367" s="1670">
        <f t="shared" si="28"/>
        <v>0</v>
      </c>
    </row>
    <row r="368" spans="1:14" ht="13.5" thickTop="1" x14ac:dyDescent="0.2">
      <c r="A368" s="2182" t="s">
        <v>996</v>
      </c>
      <c r="B368" s="2183"/>
      <c r="C368" s="654"/>
      <c r="D368" s="654"/>
      <c r="E368" s="626"/>
      <c r="F368" s="626"/>
      <c r="G368" s="626"/>
      <c r="H368" s="626"/>
      <c r="I368" s="626"/>
      <c r="J368" s="623"/>
      <c r="K368" s="1671">
        <f>'Revenues 9-14'!K268-'Expenditures 15-22'!K367</f>
        <v>11430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3" firstPageNumber="20" fitToHeight="0" orientation="landscape" useFirstPageNumber="1" r:id="rId1"/>
  <headerFooter differentFirst="1" scaleWithDoc="0">
    <oddHeader>&amp;C&amp;"Arial,Bold"&amp;9STATEMENT OF EXPENDITURES DISBURSED/EXPENDITURES, BUDGET TO ACTUAL
FOR THE YEAR ENDING JUNE 30, 2019</oddHeader>
    <oddFooter>&amp;LSee notes to financial statements.&amp;C&amp;P</oddFooter>
    <firstHeader>&amp;C&amp;"Arial,Bold"STATEMENT OF EXPENDITURES DISBURSED/EXPENDITURES, BUDGET TO ACTUAL
FOR THE YEAR ENDING JUNE 30, 2019</firstHeader>
    <firstFooter>&amp;LSee notes to financial statements.&amp;C20</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1802</v>
      </c>
      <c r="B2" s="1528" t="s">
        <v>1951</v>
      </c>
      <c r="C2" s="714" t="s">
        <v>1952</v>
      </c>
      <c r="D2" s="714" t="s">
        <v>1953</v>
      </c>
      <c r="E2" s="714" t="s">
        <v>1954</v>
      </c>
      <c r="F2" s="714" t="s">
        <v>1955</v>
      </c>
    </row>
    <row r="3" spans="1:6" ht="12" customHeight="1" x14ac:dyDescent="0.2">
      <c r="A3" s="2185"/>
      <c r="B3" s="1525"/>
      <c r="C3" s="1526"/>
      <c r="D3" s="1527" t="s">
        <v>256</v>
      </c>
      <c r="E3" s="1526"/>
      <c r="F3" s="1527" t="s">
        <v>257</v>
      </c>
    </row>
    <row r="4" spans="1:6" ht="13.7" customHeight="1" x14ac:dyDescent="0.2">
      <c r="A4" s="715" t="s">
        <v>1155</v>
      </c>
      <c r="B4" s="1749">
        <f>'Revenues 9-14'!C5</f>
        <v>1437010</v>
      </c>
      <c r="C4" s="1524"/>
      <c r="D4" s="1752">
        <f>B4-C4</f>
        <v>1437010</v>
      </c>
      <c r="E4" s="1524">
        <v>1485119</v>
      </c>
      <c r="F4" s="1752">
        <f>E4-C4</f>
        <v>1485119</v>
      </c>
    </row>
    <row r="5" spans="1:6" ht="13.7" customHeight="1" x14ac:dyDescent="0.2">
      <c r="A5" s="715" t="s">
        <v>870</v>
      </c>
      <c r="B5" s="1750">
        <f>'Revenues 9-14'!D5</f>
        <v>296801</v>
      </c>
      <c r="C5" s="585"/>
      <c r="D5" s="1753">
        <f t="shared" ref="D5:D18" si="0">B5-C5</f>
        <v>296801</v>
      </c>
      <c r="E5" s="585">
        <v>308285</v>
      </c>
      <c r="F5" s="1753">
        <f>E5-C5</f>
        <v>308285</v>
      </c>
    </row>
    <row r="6" spans="1:6" ht="13.7" customHeight="1" x14ac:dyDescent="0.2">
      <c r="A6" s="715" t="s">
        <v>411</v>
      </c>
      <c r="B6" s="1750">
        <f>'Revenues 9-14'!E5</f>
        <v>165501</v>
      </c>
      <c r="C6" s="585"/>
      <c r="D6" s="1753">
        <f t="shared" si="0"/>
        <v>165501</v>
      </c>
      <c r="E6" s="585">
        <v>166531</v>
      </c>
      <c r="F6" s="1753">
        <f t="shared" ref="F6:F18" si="1">E6-C6</f>
        <v>166531</v>
      </c>
    </row>
    <row r="7" spans="1:6" ht="13.7" customHeight="1" x14ac:dyDescent="0.2">
      <c r="A7" s="715" t="s">
        <v>155</v>
      </c>
      <c r="B7" s="1750">
        <f>'Revenues 9-14'!F5</f>
        <v>125942</v>
      </c>
      <c r="C7" s="585"/>
      <c r="D7" s="1753">
        <f t="shared" si="0"/>
        <v>125942</v>
      </c>
      <c r="E7" s="585">
        <v>130815</v>
      </c>
      <c r="F7" s="1753">
        <f t="shared" si="1"/>
        <v>130815</v>
      </c>
    </row>
    <row r="8" spans="1:6" ht="13.7" customHeight="1" x14ac:dyDescent="0.2">
      <c r="A8" s="715" t="s">
        <v>1179</v>
      </c>
      <c r="B8" s="1750">
        <f>'Revenues 9-14'!G5</f>
        <v>78711</v>
      </c>
      <c r="C8" s="585"/>
      <c r="D8" s="1753">
        <f t="shared" si="0"/>
        <v>78711</v>
      </c>
      <c r="E8" s="585">
        <v>79903</v>
      </c>
      <c r="F8" s="1753">
        <f t="shared" si="1"/>
        <v>79903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12764</v>
      </c>
      <c r="C10" s="585"/>
      <c r="D10" s="1753">
        <f t="shared" si="0"/>
        <v>12764</v>
      </c>
      <c r="E10" s="585">
        <v>10543</v>
      </c>
      <c r="F10" s="1753">
        <f t="shared" si="1"/>
        <v>10543</v>
      </c>
    </row>
    <row r="11" spans="1:6" x14ac:dyDescent="0.2">
      <c r="A11" s="715" t="s">
        <v>409</v>
      </c>
      <c r="B11" s="1750">
        <f>'Revenues 9-14'!J5</f>
        <v>37394</v>
      </c>
      <c r="C11" s="585"/>
      <c r="D11" s="1753">
        <f t="shared" si="0"/>
        <v>37394</v>
      </c>
      <c r="E11" s="585">
        <v>30406</v>
      </c>
      <c r="F11" s="1753">
        <f t="shared" si="1"/>
        <v>30406</v>
      </c>
    </row>
    <row r="12" spans="1:6" ht="13.7" customHeight="1" x14ac:dyDescent="0.2">
      <c r="A12" s="715" t="s">
        <v>157</v>
      </c>
      <c r="B12" s="1750">
        <f>'Revenues 9-14'!K5</f>
        <v>12764</v>
      </c>
      <c r="C12" s="585"/>
      <c r="D12" s="1753">
        <f t="shared" si="0"/>
        <v>12764</v>
      </c>
      <c r="E12" s="585">
        <v>12162</v>
      </c>
      <c r="F12" s="1753">
        <f t="shared" si="1"/>
        <v>12162</v>
      </c>
    </row>
    <row r="13" spans="1:6" ht="13.7" customHeight="1" x14ac:dyDescent="0.2">
      <c r="A13" s="715" t="s">
        <v>936</v>
      </c>
      <c r="B13" s="1750">
        <f>SUM('Revenues 9-14'!C6:D6)</f>
        <v>12764</v>
      </c>
      <c r="C13" s="585"/>
      <c r="D13" s="1753">
        <f t="shared" si="0"/>
        <v>12764</v>
      </c>
      <c r="E13" s="585">
        <v>12162</v>
      </c>
      <c r="F13" s="1753">
        <f t="shared" si="1"/>
        <v>12162</v>
      </c>
    </row>
    <row r="14" spans="1:6" ht="13.7" customHeight="1" x14ac:dyDescent="0.2">
      <c r="A14" s="715" t="s">
        <v>410</v>
      </c>
      <c r="B14" s="1750">
        <f>SUM('Revenues 9-14'!C7:D7,'Revenues 9-14'!F7:H7)</f>
        <v>12764</v>
      </c>
      <c r="C14" s="585"/>
      <c r="D14" s="1753">
        <f t="shared" si="0"/>
        <v>12764</v>
      </c>
      <c r="E14" s="585">
        <v>12162</v>
      </c>
      <c r="F14" s="1753">
        <f t="shared" si="1"/>
        <v>12162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72196</v>
      </c>
      <c r="C16" s="585"/>
      <c r="D16" s="1753">
        <f t="shared" si="0"/>
        <v>72196</v>
      </c>
      <c r="E16" s="585">
        <v>76842</v>
      </c>
      <c r="F16" s="1753">
        <f t="shared" si="1"/>
        <v>76842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2264611</v>
      </c>
      <c r="C19" s="1751">
        <f>SUM(C4:C18)</f>
        <v>0</v>
      </c>
      <c r="D19" s="1751">
        <f>SUM(D4:D18)</f>
        <v>2264611</v>
      </c>
      <c r="E19" s="1751">
        <f>SUM(E4:E18)</f>
        <v>2324930</v>
      </c>
      <c r="F19" s="1751">
        <f>SUM(F4:F18)</f>
        <v>2324930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25"/>
  <pageSetup firstPageNumber="23" orientation="landscape" useFirstPageNumber="1" r:id="rId1"/>
  <headerFooter scaleWithDoc="0">
    <oddFooter>&amp;LSee notes to financial statements.&amp;C28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H33" sqref="H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1802</v>
      </c>
      <c r="B2" s="2200"/>
      <c r="C2" s="1884" t="s">
        <v>1956</v>
      </c>
      <c r="D2" s="723" t="s">
        <v>1957</v>
      </c>
      <c r="E2" s="723" t="s">
        <v>1958</v>
      </c>
      <c r="F2" s="1884" t="s">
        <v>1959</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5">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8" t="s">
        <v>631</v>
      </c>
      <c r="B15" s="2189"/>
      <c r="C15" s="1755">
        <f>SUM(C6:C14)</f>
        <v>0</v>
      </c>
      <c r="D15" s="1755">
        <f>SUM(D6:D14)</f>
        <v>0</v>
      </c>
      <c r="E15" s="1755">
        <f>SUM(E6:E14)</f>
        <v>0</v>
      </c>
      <c r="F15" s="1755">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5">
        <f>SUM(C17+D17)-E17</f>
        <v>0</v>
      </c>
    </row>
    <row r="18" spans="1:11" ht="12.75" customHeight="1" thickTop="1" thickBot="1" x14ac:dyDescent="0.25">
      <c r="A18" s="2211" t="s">
        <v>6</v>
      </c>
      <c r="B18" s="2212"/>
      <c r="C18" s="726"/>
      <c r="D18" s="585"/>
      <c r="E18" s="726"/>
      <c r="F18" s="1755">
        <f>SUM(C18+D18)-E18</f>
        <v>0</v>
      </c>
    </row>
    <row r="19" spans="1:11" ht="12.75" customHeight="1" thickTop="1" thickBot="1" x14ac:dyDescent="0.25">
      <c r="A19" s="2211" t="s">
        <v>388</v>
      </c>
      <c r="B19" s="2212"/>
      <c r="C19" s="726"/>
      <c r="D19" s="585"/>
      <c r="E19" s="726"/>
      <c r="F19" s="1755">
        <f>SUM(C19+D19)-E19</f>
        <v>0</v>
      </c>
    </row>
    <row r="20" spans="1:11" ht="12.75" customHeight="1" thickTop="1" thickBot="1" x14ac:dyDescent="0.25">
      <c r="A20" s="2211" t="s">
        <v>448</v>
      </c>
      <c r="B20" s="2212"/>
      <c r="C20" s="726"/>
      <c r="D20" s="585"/>
      <c r="E20" s="726"/>
      <c r="F20" s="1755">
        <f>SUM(C20+D20)-E20</f>
        <v>0</v>
      </c>
    </row>
    <row r="21" spans="1:11" ht="14.25" thickTop="1" thickBot="1" x14ac:dyDescent="0.25">
      <c r="A21" s="2188" t="s">
        <v>632</v>
      </c>
      <c r="B21" s="2189"/>
      <c r="C21" s="1755">
        <f>SUM(C17:C20)</f>
        <v>0</v>
      </c>
      <c r="D21" s="1755">
        <f>SUM(D17:D20)</f>
        <v>0</v>
      </c>
      <c r="E21" s="1755">
        <f>SUM(E17:E20)</f>
        <v>0</v>
      </c>
      <c r="F21" s="1755">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5">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5">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5">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2083</v>
      </c>
      <c r="B31" s="733">
        <v>41543</v>
      </c>
      <c r="C31" s="734">
        <v>1455000</v>
      </c>
      <c r="D31" s="735">
        <v>3</v>
      </c>
      <c r="E31" s="734">
        <v>895000</v>
      </c>
      <c r="F31" s="734"/>
      <c r="G31" s="734"/>
      <c r="H31" s="734">
        <v>140000</v>
      </c>
      <c r="I31" s="1756">
        <f>((E31+F31)-H31)+G31</f>
        <v>755000</v>
      </c>
      <c r="J31" s="734">
        <v>646216</v>
      </c>
      <c r="K31" s="736"/>
    </row>
    <row r="32" spans="1:11" ht="12" customHeight="1" x14ac:dyDescent="0.2">
      <c r="A32" s="732" t="s">
        <v>2084</v>
      </c>
      <c r="B32" s="733">
        <v>42913</v>
      </c>
      <c r="C32" s="734">
        <v>335000</v>
      </c>
      <c r="D32" s="735">
        <v>8</v>
      </c>
      <c r="E32" s="734">
        <v>335000</v>
      </c>
      <c r="F32" s="734"/>
      <c r="G32" s="734"/>
      <c r="H32" s="734">
        <v>45000</v>
      </c>
      <c r="I32" s="1756">
        <f>((E32+F32)-H32)+G32</f>
        <v>290000</v>
      </c>
      <c r="J32" s="734">
        <v>290000</v>
      </c>
      <c r="K32" s="736"/>
    </row>
    <row r="33" spans="1:11" ht="12" customHeight="1" x14ac:dyDescent="0.2">
      <c r="A33" s="732" t="s">
        <v>2085</v>
      </c>
      <c r="B33" s="733">
        <v>42931</v>
      </c>
      <c r="C33" s="734">
        <v>478253</v>
      </c>
      <c r="D33" s="735">
        <v>7</v>
      </c>
      <c r="E33" s="734">
        <v>412239</v>
      </c>
      <c r="F33" s="734"/>
      <c r="G33" s="734"/>
      <c r="H33" s="734">
        <v>53234</v>
      </c>
      <c r="I33" s="1756">
        <f t="shared" ref="I33:I48" si="1">((E33+F33)-H33)+G33</f>
        <v>359005</v>
      </c>
      <c r="J33" s="734">
        <v>359005</v>
      </c>
      <c r="K33" s="736"/>
    </row>
    <row r="34" spans="1:11" ht="12" customHeight="1" x14ac:dyDescent="0.2">
      <c r="A34" s="732" t="s">
        <v>2086</v>
      </c>
      <c r="B34" s="733"/>
      <c r="C34" s="734">
        <v>1020000</v>
      </c>
      <c r="D34" s="735">
        <v>6</v>
      </c>
      <c r="E34" s="734"/>
      <c r="F34" s="734">
        <v>1020000</v>
      </c>
      <c r="G34" s="734"/>
      <c r="H34" s="734"/>
      <c r="I34" s="1756">
        <f t="shared" si="1"/>
        <v>1020000</v>
      </c>
      <c r="J34" s="734">
        <v>1020000</v>
      </c>
      <c r="K34" s="737"/>
    </row>
    <row r="35" spans="1:11" ht="12" customHeight="1" x14ac:dyDescent="0.2">
      <c r="A35" s="732" t="s">
        <v>2087</v>
      </c>
      <c r="B35" s="733"/>
      <c r="C35" s="738">
        <v>1575000</v>
      </c>
      <c r="D35" s="735">
        <v>8</v>
      </c>
      <c r="E35" s="738"/>
      <c r="F35" s="738">
        <v>1575000</v>
      </c>
      <c r="G35" s="738"/>
      <c r="H35" s="738"/>
      <c r="I35" s="1756">
        <f t="shared" si="1"/>
        <v>1575000</v>
      </c>
      <c r="J35" s="738">
        <v>1575000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4863253</v>
      </c>
      <c r="D49" s="745"/>
      <c r="E49" s="1756">
        <f t="shared" ref="E49:J49" si="2">SUM(E31:E48)</f>
        <v>1642239</v>
      </c>
      <c r="F49" s="1756">
        <f t="shared" si="2"/>
        <v>2595000</v>
      </c>
      <c r="G49" s="1756">
        <f t="shared" si="2"/>
        <v>0</v>
      </c>
      <c r="H49" s="1756">
        <f t="shared" si="2"/>
        <v>238234</v>
      </c>
      <c r="I49" s="1756">
        <f t="shared" si="2"/>
        <v>3999005</v>
      </c>
      <c r="J49" s="1756">
        <f t="shared" si="2"/>
        <v>3890221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t="s">
        <v>2088</v>
      </c>
      <c r="G52" s="2208"/>
      <c r="H52" s="736"/>
      <c r="I52" s="736"/>
      <c r="J52" s="746"/>
    </row>
    <row r="53" spans="1:11" ht="11.25" customHeight="1" x14ac:dyDescent="0.2">
      <c r="A53" s="750" t="s">
        <v>913</v>
      </c>
      <c r="B53" s="751" t="s">
        <v>951</v>
      </c>
      <c r="C53" s="746"/>
      <c r="D53" s="737"/>
      <c r="E53" s="749" t="s">
        <v>497</v>
      </c>
      <c r="F53" s="2209" t="s">
        <v>2089</v>
      </c>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25"/>
  <pageSetup scale="73" firstPageNumber="24" fitToHeight="0" orientation="landscape" useFirstPageNumber="1" r:id="rId1"/>
  <headerFooter scaleWithDoc="0">
    <oddFooter>&amp;LSee notes to financial statements.&amp;C29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1812</v>
      </c>
      <c r="K2" s="762" t="s">
        <v>138</v>
      </c>
    </row>
    <row r="3" spans="1:11" x14ac:dyDescent="0.2">
      <c r="A3" s="2221" t="s">
        <v>1964</v>
      </c>
      <c r="B3" s="2222"/>
      <c r="C3" s="2222"/>
      <c r="D3" s="2222"/>
      <c r="E3" s="2223"/>
      <c r="F3" s="763"/>
      <c r="G3" s="764"/>
      <c r="H3" s="764"/>
      <c r="I3" s="764"/>
      <c r="J3" s="765">
        <v>5626</v>
      </c>
      <c r="K3" s="765"/>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12764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8803</v>
      </c>
    </row>
    <row r="8" spans="1:11" x14ac:dyDescent="0.2">
      <c r="A8" s="778" t="s">
        <v>345</v>
      </c>
      <c r="B8" s="779"/>
      <c r="C8" s="779"/>
      <c r="D8" s="779"/>
      <c r="E8" s="780"/>
      <c r="F8" s="770" t="s">
        <v>851</v>
      </c>
      <c r="G8" s="782"/>
      <c r="H8" s="782"/>
      <c r="I8" s="782"/>
      <c r="J8" s="765">
        <v>186689</v>
      </c>
      <c r="K8" s="769"/>
    </row>
    <row r="9" spans="1:11" x14ac:dyDescent="0.2">
      <c r="A9" s="778" t="s">
        <v>138</v>
      </c>
      <c r="B9" s="779"/>
      <c r="C9" s="779"/>
      <c r="D9" s="779"/>
      <c r="E9" s="780"/>
      <c r="F9" s="777" t="s">
        <v>853</v>
      </c>
      <c r="G9" s="782"/>
      <c r="H9" s="771"/>
      <c r="I9" s="771"/>
      <c r="J9" s="781"/>
      <c r="K9" s="765"/>
    </row>
    <row r="10" spans="1:11" x14ac:dyDescent="0.2">
      <c r="A10" s="2242" t="s">
        <v>1813</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7"/>
      <c r="G12" s="1758">
        <f>SUM(G5:G11)</f>
        <v>0</v>
      </c>
      <c r="H12" s="1758">
        <f>SUM(H5:H11)</f>
        <v>12764</v>
      </c>
      <c r="I12" s="1758">
        <f>SUM(I5:I11)</f>
        <v>0</v>
      </c>
      <c r="J12" s="1758">
        <f>SUM(J5:J11)</f>
        <v>186689</v>
      </c>
      <c r="K12" s="1758">
        <f>SUM(K5:K11)</f>
        <v>8803</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v>12764</v>
      </c>
      <c r="I14" s="771"/>
      <c r="J14" s="773"/>
      <c r="K14" s="765"/>
    </row>
    <row r="15" spans="1:11" x14ac:dyDescent="0.2">
      <c r="A15" s="2215" t="s">
        <v>4</v>
      </c>
      <c r="B15" s="2215"/>
      <c r="C15" s="2215"/>
      <c r="D15" s="2215"/>
      <c r="E15" s="2243"/>
      <c r="F15" s="789" t="s">
        <v>855</v>
      </c>
      <c r="G15" s="771"/>
      <c r="H15" s="764"/>
      <c r="I15" s="764"/>
      <c r="J15" s="765">
        <v>237350</v>
      </c>
      <c r="K15" s="765">
        <v>14897</v>
      </c>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1809</v>
      </c>
      <c r="B19" s="2250"/>
      <c r="C19" s="2250"/>
      <c r="D19" s="2250"/>
      <c r="E19" s="2251"/>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9"/>
      <c r="G21" s="792"/>
      <c r="H21" s="796"/>
      <c r="I21" s="796"/>
      <c r="J21" s="1760">
        <f>SUM(J18:J20)</f>
        <v>0</v>
      </c>
      <c r="K21" s="793"/>
    </row>
    <row r="22" spans="1:11" ht="13.5" thickTop="1" x14ac:dyDescent="0.2">
      <c r="A22" s="2215" t="s">
        <v>1815</v>
      </c>
      <c r="B22" s="2215"/>
      <c r="C22" s="2215"/>
      <c r="D22" s="2215"/>
      <c r="E22" s="2243"/>
      <c r="F22" s="789" t="s">
        <v>862</v>
      </c>
      <c r="G22" s="782"/>
      <c r="H22" s="764"/>
      <c r="I22" s="764"/>
      <c r="J22" s="797"/>
      <c r="K22" s="765"/>
    </row>
    <row r="23" spans="1:11" ht="13.5" thickBot="1" x14ac:dyDescent="0.25">
      <c r="A23" s="2236" t="s">
        <v>906</v>
      </c>
      <c r="B23" s="2235"/>
      <c r="C23" s="2235"/>
      <c r="D23" s="2235"/>
      <c r="E23" s="2235"/>
      <c r="F23" s="1761"/>
      <c r="G23" s="1758">
        <f>SUM(G14:G16,G21,G22)</f>
        <v>0</v>
      </c>
      <c r="H23" s="1758">
        <f>SUM(H14:H16,H21,H22)</f>
        <v>12764</v>
      </c>
      <c r="I23" s="1758">
        <f>SUM(I14:I16,I21,I22)</f>
        <v>0</v>
      </c>
      <c r="J23" s="1758">
        <f>SUM(J14:J16,J21,J22)</f>
        <v>237350</v>
      </c>
      <c r="K23" s="1758">
        <f>SUM(K14:K16,K21,K22)</f>
        <v>14897</v>
      </c>
    </row>
    <row r="24" spans="1:11" ht="14.25" thickTop="1" thickBot="1" x14ac:dyDescent="0.25">
      <c r="A24" s="2236" t="s">
        <v>1965</v>
      </c>
      <c r="B24" s="2235"/>
      <c r="C24" s="2235"/>
      <c r="D24" s="2235"/>
      <c r="E24" s="2235"/>
      <c r="F24" s="1762"/>
      <c r="G24" s="1763">
        <f>SUM(G3,G12)-G23</f>
        <v>0</v>
      </c>
      <c r="H24" s="1763">
        <f>SUM(H3,H12)-H23</f>
        <v>0</v>
      </c>
      <c r="I24" s="1763">
        <f>SUM(I3,I12)-I23</f>
        <v>0</v>
      </c>
      <c r="J24" s="1763">
        <f>SUM(J3,J12)-J23</f>
        <v>-45035</v>
      </c>
      <c r="K24" s="1763">
        <f>SUM(K3,K12)-K23</f>
        <v>-6094</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-45035</v>
      </c>
      <c r="K26" s="1758">
        <f>K24-K25</f>
        <v>-6094</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5"/>
  <pageSetup scale="80" firstPageNumber="25" orientation="landscape" useFirstPageNumber="1" r:id="rId1"/>
  <headerFooter scaleWithDoc="0">
    <oddHeader xml:space="preserve">&amp;C&amp;"Arial,Bold"Schedule of Restricted Local Tax Levies and Selected Revenues Sources 
Schedule of Tort Immunity Expenditures </oddHeader>
    <oddFooter>&amp;LSee notes to financial statements.&amp;C30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5" sqref="D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1909</v>
      </c>
      <c r="B1" s="2255"/>
      <c r="C1" s="2256"/>
      <c r="D1" s="826"/>
      <c r="E1" s="827"/>
      <c r="F1" s="827"/>
      <c r="G1" s="828"/>
      <c r="H1" s="829"/>
      <c r="I1" s="830"/>
      <c r="J1" s="2252"/>
      <c r="K1" s="2253"/>
      <c r="L1" s="2253"/>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121982</v>
      </c>
      <c r="D5" s="841"/>
      <c r="E5" s="841"/>
      <c r="F5" s="1760">
        <f>(C5+D5)-E5</f>
        <v>121982</v>
      </c>
      <c r="G5" s="837"/>
      <c r="H5" s="842"/>
      <c r="I5" s="842"/>
      <c r="J5" s="842"/>
      <c r="K5" s="793"/>
      <c r="L5" s="1769">
        <f>F5-K5</f>
        <v>121982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9398671</v>
      </c>
      <c r="D8" s="844"/>
      <c r="E8" s="844"/>
      <c r="F8" s="1760">
        <f>(C8+D8)-E8</f>
        <v>9398671</v>
      </c>
      <c r="G8" s="843">
        <v>50</v>
      </c>
      <c r="H8" s="765">
        <v>4022135</v>
      </c>
      <c r="I8" s="765">
        <v>187973</v>
      </c>
      <c r="J8" s="765"/>
      <c r="K8" s="1769">
        <f>(H8+I8)-J8</f>
        <v>4210108</v>
      </c>
      <c r="L8" s="1769">
        <f>F8-K8</f>
        <v>5188563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1625173</v>
      </c>
      <c r="D10" s="846">
        <v>220557</v>
      </c>
      <c r="E10" s="846"/>
      <c r="F10" s="1764">
        <f>(C10+D10)-E10</f>
        <v>1845730</v>
      </c>
      <c r="G10" s="843">
        <v>20</v>
      </c>
      <c r="H10" s="847">
        <v>400720</v>
      </c>
      <c r="I10" s="847">
        <v>84486</v>
      </c>
      <c r="J10" s="847"/>
      <c r="K10" s="1769">
        <f>(H10+I10)-J10</f>
        <v>485206</v>
      </c>
      <c r="L10" s="1769">
        <f>F10-K10</f>
        <v>1360524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1791049</v>
      </c>
      <c r="D12" s="844">
        <v>82712</v>
      </c>
      <c r="E12" s="844"/>
      <c r="F12" s="1760">
        <f>(C12+D12)-E12</f>
        <v>1873761</v>
      </c>
      <c r="G12" s="843">
        <v>10</v>
      </c>
      <c r="H12" s="765">
        <v>1659048</v>
      </c>
      <c r="I12" s="765">
        <v>25203</v>
      </c>
      <c r="J12" s="765"/>
      <c r="K12" s="1769">
        <f>(H12+I12)-J12</f>
        <v>1684251</v>
      </c>
      <c r="L12" s="1769">
        <f>F12-K12</f>
        <v>189510</v>
      </c>
    </row>
    <row r="13" spans="1:14" ht="14.25" thickTop="1" thickBot="1" x14ac:dyDescent="0.25">
      <c r="A13" s="848" t="s">
        <v>1122</v>
      </c>
      <c r="B13" s="840">
        <v>252</v>
      </c>
      <c r="C13" s="844">
        <v>693386</v>
      </c>
      <c r="D13" s="844"/>
      <c r="E13" s="844"/>
      <c r="F13" s="1760">
        <f>(C13+D13)-E13</f>
        <v>693386</v>
      </c>
      <c r="G13" s="843">
        <v>5</v>
      </c>
      <c r="H13" s="765">
        <v>224320</v>
      </c>
      <c r="I13" s="765">
        <v>68825</v>
      </c>
      <c r="J13" s="765"/>
      <c r="K13" s="1769">
        <f>(H13+I13)-J13</f>
        <v>293145</v>
      </c>
      <c r="L13" s="1769">
        <f>F13-K13</f>
        <v>400241</v>
      </c>
    </row>
    <row r="14" spans="1:14" ht="14.25" thickTop="1" thickBot="1" x14ac:dyDescent="0.25">
      <c r="A14" s="848" t="s">
        <v>1123</v>
      </c>
      <c r="B14" s="840">
        <v>253</v>
      </c>
      <c r="C14" s="765">
        <v>554713</v>
      </c>
      <c r="D14" s="765">
        <v>26977</v>
      </c>
      <c r="E14" s="765"/>
      <c r="F14" s="1760">
        <f>(C14+D14)-E14</f>
        <v>581690</v>
      </c>
      <c r="G14" s="843">
        <v>3</v>
      </c>
      <c r="H14" s="765">
        <v>494103</v>
      </c>
      <c r="I14" s="765">
        <v>29109</v>
      </c>
      <c r="J14" s="765"/>
      <c r="K14" s="1769">
        <f>(H14+I14)-J14</f>
        <v>523212</v>
      </c>
      <c r="L14" s="1769">
        <f>F14-K14</f>
        <v>58478</v>
      </c>
    </row>
    <row r="15" spans="1:14" ht="15" customHeight="1" thickTop="1" thickBot="1" x14ac:dyDescent="0.25">
      <c r="A15" s="1631" t="s">
        <v>528</v>
      </c>
      <c r="B15" s="1630">
        <v>260</v>
      </c>
      <c r="C15" s="844">
        <v>11108</v>
      </c>
      <c r="D15" s="844">
        <v>2140</v>
      </c>
      <c r="E15" s="844">
        <v>11108</v>
      </c>
      <c r="F15" s="1760">
        <f>(C15+D15)-E15</f>
        <v>2140</v>
      </c>
      <c r="G15" s="849" t="s">
        <v>862</v>
      </c>
      <c r="H15" s="781"/>
      <c r="I15" s="781"/>
      <c r="J15" s="781"/>
      <c r="K15" s="781"/>
      <c r="L15" s="1769">
        <f>F15-K15</f>
        <v>2140</v>
      </c>
    </row>
    <row r="16" spans="1:14" ht="15" customHeight="1" thickTop="1" thickBot="1" x14ac:dyDescent="0.25">
      <c r="A16" s="1765" t="s">
        <v>643</v>
      </c>
      <c r="B16" s="1766">
        <v>200</v>
      </c>
      <c r="C16" s="1760">
        <f>SUM(C3,C5:C6,C8:C10,C12:C15)</f>
        <v>14196082</v>
      </c>
      <c r="D16" s="1760">
        <f>SUM(D3,D5:D6,D8:D10,D12:D15)</f>
        <v>332386</v>
      </c>
      <c r="E16" s="1760">
        <f>SUM(E3,E5:E6,E8:E10,E12:E15)</f>
        <v>11108</v>
      </c>
      <c r="F16" s="1760">
        <f>SUM(F3,F5:F6,F8:F10,F12:F15)</f>
        <v>14517360</v>
      </c>
      <c r="G16" s="843"/>
      <c r="H16" s="1760">
        <f>SUM(H3,H6,H8:H10,H12:H14,)</f>
        <v>6800326</v>
      </c>
      <c r="I16" s="1760">
        <f>SUM(I3,I6,I8:I10,I12:I14,)</f>
        <v>395596</v>
      </c>
      <c r="J16" s="1760">
        <f>SUM(J3,J6,J8:J10,J12:J14,)</f>
        <v>0</v>
      </c>
      <c r="K16" s="1760">
        <f>(H16+I16)-J16</f>
        <v>7195922</v>
      </c>
      <c r="L16" s="1760">
        <f>F16-K16</f>
        <v>7321438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395596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25"/>
  <pageSetup scale="80" firstPageNumber="26" orientation="landscape" useFirstPageNumber="1" r:id="rId1"/>
  <headerFooter scaleWithDoc="0">
    <oddHeader xml:space="preserve">&amp;C </oddHeader>
    <oddFooter>&amp;LSee notes to financial statements.&amp;C31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2" activePane="bottomLeft" state="frozen"/>
      <selection activeCell="A4" sqref="A4:F4"/>
      <selection pane="bottomLeft" activeCell="F179" sqref="F1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1975</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4810391</v>
      </c>
      <c r="G8" s="865"/>
    </row>
    <row r="9" spans="1:7" x14ac:dyDescent="0.2">
      <c r="A9" s="869" t="s">
        <v>460</v>
      </c>
      <c r="B9" s="870" t="s">
        <v>1877</v>
      </c>
      <c r="C9" s="871"/>
      <c r="D9" s="869" t="s">
        <v>501</v>
      </c>
      <c r="E9" s="868"/>
      <c r="F9" s="1909">
        <f>'Expenditures 15-22'!K151</f>
        <v>406184</v>
      </c>
      <c r="G9" s="872"/>
    </row>
    <row r="10" spans="1:7" x14ac:dyDescent="0.2">
      <c r="A10" s="869" t="s">
        <v>499</v>
      </c>
      <c r="B10" s="870" t="s">
        <v>1878</v>
      </c>
      <c r="C10" s="871"/>
      <c r="D10" s="869" t="s">
        <v>501</v>
      </c>
      <c r="E10" s="868"/>
      <c r="F10" s="1909">
        <f>'Expenditures 15-22'!K174</f>
        <v>220074</v>
      </c>
      <c r="G10" s="872"/>
    </row>
    <row r="11" spans="1:7" x14ac:dyDescent="0.2">
      <c r="A11" s="869" t="s">
        <v>461</v>
      </c>
      <c r="B11" s="870" t="s">
        <v>1879</v>
      </c>
      <c r="C11" s="871"/>
      <c r="D11" s="869" t="s">
        <v>501</v>
      </c>
      <c r="E11" s="868"/>
      <c r="F11" s="1909">
        <f>'Expenditures 15-22'!K210</f>
        <v>347455</v>
      </c>
      <c r="G11" s="872"/>
    </row>
    <row r="12" spans="1:7" x14ac:dyDescent="0.2">
      <c r="A12" s="869" t="s">
        <v>462</v>
      </c>
      <c r="B12" s="870" t="s">
        <v>1880</v>
      </c>
      <c r="C12" s="871"/>
      <c r="D12" s="869" t="s">
        <v>501</v>
      </c>
      <c r="E12" s="868"/>
      <c r="F12" s="1909">
        <f>'Expenditures 15-22'!K295</f>
        <v>193999</v>
      </c>
      <c r="G12" s="872"/>
    </row>
    <row r="13" spans="1:7" x14ac:dyDescent="0.2">
      <c r="A13" s="869" t="s">
        <v>106</v>
      </c>
      <c r="B13" s="870" t="s">
        <v>1881</v>
      </c>
      <c r="C13" s="871"/>
      <c r="D13" s="869" t="s">
        <v>501</v>
      </c>
      <c r="E13" s="868"/>
      <c r="F13" s="1909">
        <f>'Expenditures 15-22'!K342</f>
        <v>33511</v>
      </c>
      <c r="G13" s="873"/>
    </row>
    <row r="14" spans="1:7" ht="12" customHeight="1" thickBot="1" x14ac:dyDescent="0.25">
      <c r="A14" s="1770"/>
      <c r="B14" s="1771"/>
      <c r="C14" s="1772"/>
      <c r="D14" s="1773" t="s">
        <v>501</v>
      </c>
      <c r="E14" s="1774" t="s">
        <v>958</v>
      </c>
      <c r="F14" s="1775">
        <f>SUM(F8:F13)</f>
        <v>6011614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7693</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189211</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141234</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123102</v>
      </c>
      <c r="G52" s="865"/>
    </row>
    <row r="53" spans="1:7" x14ac:dyDescent="0.2">
      <c r="A53" s="869" t="s">
        <v>459</v>
      </c>
      <c r="B53" s="869" t="s">
        <v>1475</v>
      </c>
      <c r="C53" s="889">
        <f>'Expenditures 15-22'!B102</f>
        <v>4000</v>
      </c>
      <c r="D53" s="888" t="str">
        <f>'Expenditures 15-22'!A102</f>
        <v>Total Payments to Other Govt Units</v>
      </c>
      <c r="E53" s="868"/>
      <c r="F53" s="1913">
        <f>'Expenditures 15-22'!K102</f>
        <v>131505</v>
      </c>
      <c r="G53" s="865"/>
    </row>
    <row r="54" spans="1:7" x14ac:dyDescent="0.2">
      <c r="A54" s="869" t="s">
        <v>459</v>
      </c>
      <c r="B54" s="869" t="s">
        <v>1476</v>
      </c>
      <c r="C54" s="889" t="s">
        <v>982</v>
      </c>
      <c r="D54" s="885" t="s">
        <v>1095</v>
      </c>
      <c r="E54" s="868"/>
      <c r="F54" s="1913">
        <f>'Expenditures 15-22'!G114</f>
        <v>109568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5081</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185000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66014</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9068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10160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977636</v>
      </c>
      <c r="G76" s="865"/>
    </row>
    <row r="77" spans="1:8" s="893" customFormat="1" ht="12" customHeight="1" thickTop="1" thickBot="1" x14ac:dyDescent="0.25">
      <c r="A77" s="1779"/>
      <c r="B77" s="1776"/>
      <c r="C77" s="1772"/>
      <c r="D77" s="1777" t="s">
        <v>1900</v>
      </c>
      <c r="E77" s="1774"/>
      <c r="F77" s="1780">
        <f>(F14-F76)</f>
        <v>5033978</v>
      </c>
      <c r="G77" s="869"/>
    </row>
    <row r="78" spans="1:8" s="893" customFormat="1" ht="12" customHeight="1" thickTop="1" x14ac:dyDescent="0.2">
      <c r="A78" s="1781"/>
      <c r="B78" s="1776"/>
      <c r="C78" s="1772"/>
      <c r="D78" s="1777" t="s">
        <v>2062</v>
      </c>
      <c r="E78" s="1774"/>
      <c r="F78" s="898">
        <v>493.7</v>
      </c>
      <c r="G78" s="899"/>
      <c r="H78" s="869"/>
    </row>
    <row r="79" spans="1:8" s="893" customFormat="1" ht="12" customHeight="1" thickBot="1" x14ac:dyDescent="0.25">
      <c r="A79" s="1782"/>
      <c r="B79" s="1776"/>
      <c r="C79" s="1772"/>
      <c r="D79" s="1777" t="s">
        <v>1901</v>
      </c>
      <c r="E79" s="1774" t="s">
        <v>958</v>
      </c>
      <c r="F79" s="1783">
        <f>IF(F78&gt;0,F77/F78," Complete Line 78")</f>
        <v>10196.431030990479</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24975</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7215</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5705</v>
      </c>
      <c r="G94" s="912"/>
    </row>
    <row r="95" spans="1:7" x14ac:dyDescent="0.2">
      <c r="A95" s="908" t="s">
        <v>140</v>
      </c>
      <c r="B95" s="908" t="s">
        <v>175</v>
      </c>
      <c r="C95" s="910">
        <v>1700</v>
      </c>
      <c r="D95" s="918" t="str">
        <f>'Revenues 9-14'!A82</f>
        <v>Total District/School Activity Income</v>
      </c>
      <c r="E95" s="906"/>
      <c r="F95" s="1789">
        <f>SUM('Revenues 9-14'!C82,'Revenues 9-14'!D82)</f>
        <v>109797</v>
      </c>
      <c r="G95" s="912"/>
    </row>
    <row r="96" spans="1:7" x14ac:dyDescent="0.2">
      <c r="A96" s="908" t="s">
        <v>459</v>
      </c>
      <c r="B96" s="908" t="s">
        <v>176</v>
      </c>
      <c r="C96" s="910">
        <f>'Revenues 9-14'!B84</f>
        <v>1811</v>
      </c>
      <c r="D96" s="911" t="str">
        <f>'Revenues 9-14'!A84</f>
        <v>Rentals - Regular Textbooks</v>
      </c>
      <c r="E96" s="906"/>
      <c r="F96" s="1789">
        <f>'Revenues 9-14'!C84</f>
        <v>19544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800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777</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30529</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35110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3852</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9736</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180162</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15153</v>
      </c>
      <c r="G124" s="930"/>
    </row>
    <row r="125" spans="1:7" x14ac:dyDescent="0.2">
      <c r="A125" s="927" t="s">
        <v>664</v>
      </c>
      <c r="B125" s="927" t="s">
        <v>2023</v>
      </c>
      <c r="C125" s="932">
        <v>4200</v>
      </c>
      <c r="D125" s="929" t="str">
        <f>'Revenues 9-14'!A198</f>
        <v>Total Food Service</v>
      </c>
      <c r="E125" s="906"/>
      <c r="F125" s="1789">
        <f>SUM('Revenues 9-14'!C198,'Revenues 9-14'!G198)</f>
        <v>198273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151187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11879</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120291</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5897</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85</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10721</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22474</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182256</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1147168</v>
      </c>
    </row>
    <row r="175" spans="1:7" ht="12" customHeight="1" x14ac:dyDescent="0.2">
      <c r="A175" s="1770"/>
      <c r="B175" s="1784"/>
      <c r="C175" s="1785"/>
      <c r="D175" s="1786" t="s">
        <v>2057</v>
      </c>
      <c r="E175" s="1787"/>
      <c r="F175" s="1789">
        <f>'PCTC-OEPP 27-28'!F77-F174</f>
        <v>3886810</v>
      </c>
    </row>
    <row r="176" spans="1:7" ht="12" customHeight="1" x14ac:dyDescent="0.2">
      <c r="A176" s="1770"/>
      <c r="B176" s="1784"/>
      <c r="C176" s="1785"/>
      <c r="D176" s="1786" t="s">
        <v>1817</v>
      </c>
      <c r="E176" s="1787"/>
      <c r="F176" s="1789">
        <f>'Cap Outlay Deprec 26'!I18</f>
        <v>395596</v>
      </c>
    </row>
    <row r="177" spans="1:7" ht="12" customHeight="1" x14ac:dyDescent="0.2">
      <c r="A177" s="1770"/>
      <c r="B177" s="1784"/>
      <c r="C177" s="1785"/>
      <c r="D177" s="1786" t="s">
        <v>2058</v>
      </c>
      <c r="E177" s="1787"/>
      <c r="F177" s="1789">
        <f>F175+F176</f>
        <v>4282406</v>
      </c>
    </row>
    <row r="178" spans="1:7" ht="12" customHeight="1" x14ac:dyDescent="0.2">
      <c r="A178" s="1770"/>
      <c r="B178" s="1790"/>
      <c r="C178" s="1785"/>
      <c r="D178" s="1786" t="str">
        <f>D78</f>
        <v>9 Month ADA from District Average Daily Attendance/Prior General State Aid Inquiry 2018-2019</v>
      </c>
      <c r="E178" s="1787"/>
      <c r="F178" s="1791">
        <f>'PCTC-OEPP 27-28'!F78</f>
        <v>493.7</v>
      </c>
      <c r="G178" s="930"/>
    </row>
    <row r="179" spans="1:7" ht="12" customHeight="1" thickBot="1" x14ac:dyDescent="0.25">
      <c r="A179" s="1770"/>
      <c r="B179" s="1790"/>
      <c r="C179" s="1785"/>
      <c r="D179" s="1786" t="s">
        <v>2059</v>
      </c>
      <c r="E179" s="1787" t="s">
        <v>1545</v>
      </c>
      <c r="F179" s="1792">
        <f>F177/F178</f>
        <v>8674.1057322260476</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25"/>
  <pageSetup scale="71" firstPageNumber="32" orientation="portrait" useFirstPageNumber="1" r:id="rId2"/>
  <headerFooter differentFirst="1" scaleWithDoc="0">
    <oddHeader xml:space="preserve">&amp;C </oddHeader>
    <oddFooter>&amp;LSee notes to financial statements.&amp;C33</oddFooter>
    <firstFooter>&amp;LSee notes to financial statements.&amp;C32</first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C17" sqref="C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534" t="s">
        <v>1819</v>
      </c>
      <c r="B6" s="1535"/>
      <c r="C6" s="1535"/>
      <c r="D6" s="1535"/>
      <c r="E6" s="1535"/>
      <c r="F6" s="1535"/>
      <c r="G6" s="1536"/>
    </row>
    <row r="7" spans="1:7" ht="30.75" customHeight="1" x14ac:dyDescent="0.25">
      <c r="A7" s="2277" t="s">
        <v>1932</v>
      </c>
      <c r="B7" s="2278"/>
      <c r="C7" s="2278"/>
      <c r="D7" s="2278"/>
      <c r="E7" s="2278"/>
      <c r="F7" s="2278"/>
      <c r="G7" s="2279"/>
    </row>
    <row r="8" spans="1:7" ht="15.75" customHeight="1" x14ac:dyDescent="0.25">
      <c r="A8" s="2280" t="s">
        <v>1907</v>
      </c>
      <c r="B8" s="2281"/>
      <c r="C8" s="2281"/>
      <c r="D8" s="2281"/>
      <c r="E8" s="2281"/>
      <c r="F8" s="2281"/>
      <c r="G8" s="2282"/>
    </row>
    <row r="9" spans="1:7" ht="35.25" customHeight="1" x14ac:dyDescent="0.25">
      <c r="A9" s="2277" t="s">
        <v>1935</v>
      </c>
      <c r="B9" s="2278"/>
      <c r="C9" s="2278"/>
      <c r="D9" s="2278"/>
      <c r="E9" s="2278"/>
      <c r="F9" s="2278"/>
      <c r="G9" s="2279"/>
    </row>
    <row r="10" spans="1:7" ht="15" customHeight="1" x14ac:dyDescent="0.25">
      <c r="A10" s="1537" t="s">
        <v>1820</v>
      </c>
      <c r="B10" s="1538"/>
      <c r="C10" s="1538"/>
      <c r="D10" s="1538"/>
      <c r="E10" s="1538"/>
      <c r="F10" s="1538"/>
      <c r="G10" s="1539"/>
    </row>
    <row r="11" spans="1:7" ht="17.25" customHeight="1" x14ac:dyDescent="0.25">
      <c r="A11" s="2277" t="s">
        <v>1934</v>
      </c>
      <c r="B11" s="2278"/>
      <c r="C11" s="2278"/>
      <c r="D11" s="2278"/>
      <c r="E11" s="2278"/>
      <c r="F11" s="2278"/>
      <c r="G11" s="2279"/>
    </row>
    <row r="12" spans="1:7" ht="15" customHeight="1" x14ac:dyDescent="0.25">
      <c r="A12" s="1537" t="s">
        <v>1825</v>
      </c>
      <c r="B12" s="1538"/>
      <c r="C12" s="1538"/>
      <c r="D12" s="1538"/>
      <c r="E12" s="1538"/>
      <c r="F12" s="1538"/>
      <c r="G12" s="1539"/>
    </row>
    <row r="13" spans="1:7" ht="32.25" customHeight="1" x14ac:dyDescent="0.25">
      <c r="A13" s="2268" t="s">
        <v>1976</v>
      </c>
      <c r="B13" s="2269"/>
      <c r="C13" s="2269"/>
      <c r="D13" s="2269"/>
      <c r="E13" s="2269"/>
      <c r="F13" s="2269"/>
      <c r="G13" s="2270"/>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2120</v>
      </c>
      <c r="B17" s="1940" t="s">
        <v>2121</v>
      </c>
      <c r="C17" s="1941" t="s">
        <v>2093</v>
      </c>
      <c r="D17" s="1844">
        <v>25048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48</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25048</v>
      </c>
      <c r="E141" s="1541">
        <f t="shared" si="0"/>
        <v>25000</v>
      </c>
      <c r="F141" s="1933">
        <f>SUM(F17:F140)</f>
        <v>25000</v>
      </c>
      <c r="G141" s="1795">
        <f>SUM(G17:G140)</f>
        <v>48</v>
      </c>
    </row>
  </sheetData>
  <sheetProtection password="F60E" sheet="1" selectLockedCells="1"/>
  <mergeCells count="6">
    <mergeCell ref="A13:G13"/>
    <mergeCell ref="A4:G5"/>
    <mergeCell ref="A11:G11"/>
    <mergeCell ref="A7:G7"/>
    <mergeCell ref="A8:G8"/>
    <mergeCell ref="A9:G9"/>
  </mergeCells>
  <pageMargins left="0.2" right="0.2" top="0.45" bottom="0.25" header="0.3" footer="0.15"/>
  <pageSetup scale="83" firstPageNumber="30" fitToHeight="0" orientation="landscape"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A4" sqref="A4:F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8" t="s">
        <v>1977</v>
      </c>
      <c r="B11" s="2289"/>
      <c r="C11" s="2289"/>
      <c r="D11" s="229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3141433</v>
      </c>
      <c r="F19" s="1799"/>
      <c r="G19" s="1801">
        <f>'Expenditures 15-22'!K33-SUM('Expenditures 15-22'!G33,'Expenditures 15-22'!I33)+'Expenditures 15-22'!D229</f>
        <v>3141433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259501</v>
      </c>
      <c r="F21" s="1802"/>
      <c r="G21" s="1805">
        <f>'Expenditures 15-22'!K42-SUM('Expenditures 15-22'!G42,'Expenditures 15-22'!I42)+'Expenditures 15-22'!K120-SUM('Expenditures 15-22'!G120,'Expenditures 15-22'!I120)+'Expenditures 15-22'!K180-SUM('Expenditures 15-22'!G180,'Expenditures 15-22'!I180)+'Expenditures 15-22'!D238</f>
        <v>259501</v>
      </c>
      <c r="H21" s="987"/>
      <c r="I21" s="162"/>
    </row>
    <row r="22" spans="1:9" s="668" customFormat="1" ht="12" customHeight="1" x14ac:dyDescent="0.2">
      <c r="A22" s="994" t="s">
        <v>564</v>
      </c>
      <c r="B22" s="995"/>
      <c r="C22" s="993">
        <v>2200</v>
      </c>
      <c r="D22" s="1802"/>
      <c r="E22" s="1804">
        <f>'Expenditures 15-22'!K47-SUM('Expenditures 15-22'!G47,'Expenditures 15-22'!I47)+'Expenditures 15-22'!D243</f>
        <v>81105</v>
      </c>
      <c r="F22" s="1802"/>
      <c r="G22" s="1805">
        <f>'Expenditures 15-22'!K47-SUM('Expenditures 15-22'!G47,'Expenditures 15-22'!I47)+'Expenditures 15-22'!D243</f>
        <v>81105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286783</v>
      </c>
      <c r="F23" s="1802"/>
      <c r="G23" s="1804">
        <f>'Expenditures 15-22'!K53-SUM('Expenditures 15-22'!G53,'Expenditures 15-22'!I53)+'Expenditures 15-22'!D257+'Expenditures 15-22'!K330-SUM('Expenditures 15-22'!G330,'Expenditures 15-22'!I330)</f>
        <v>286783</v>
      </c>
      <c r="H23" s="987"/>
      <c r="I23" s="162"/>
    </row>
    <row r="24" spans="1:9" s="668" customFormat="1" ht="12" customHeight="1" x14ac:dyDescent="0.2">
      <c r="A24" s="994" t="s">
        <v>566</v>
      </c>
      <c r="B24" s="995"/>
      <c r="C24" s="993">
        <v>2400</v>
      </c>
      <c r="D24" s="1802"/>
      <c r="E24" s="1804">
        <f>'Expenditures 15-22'!K57-SUM('Expenditures 15-22'!G57,'Expenditures 15-22'!I57)+'Expenditures 15-22'!D261</f>
        <v>300474</v>
      </c>
      <c r="F24" s="1802"/>
      <c r="G24" s="1805">
        <f>'Expenditures 15-22'!K57-SUM('Expenditures 15-22'!G57,'Expenditures 15-22'!I57)+'Expenditures 15-22'!D261</f>
        <v>300474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172567</v>
      </c>
      <c r="E27" s="1804">
        <f>E8</f>
        <v>0</v>
      </c>
      <c r="F27" s="1804">
        <f>'Expenditures 15-22'!K60-SUM('Expenditures 15-22'!G60,'Expenditures 15-22'!I60)+'Expenditures 15-22'!D264-E8</f>
        <v>172567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579318</v>
      </c>
      <c r="F28" s="1806">
        <f>'Expenditures 15-22'!K61-SUM('Expenditures 15-22'!G61,'Expenditures 15-22'!I61)+'Expenditures 15-22'!K124-SUM('Expenditures 15-22'!G124,'Expenditures 15-22'!I124)+'Expenditures 15-22'!D266-E9</f>
        <v>579318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339528</v>
      </c>
      <c r="F29" s="1802"/>
      <c r="G29" s="1805">
        <f>'Expenditures 15-22'!K62-SUM('Expenditures 15-22'!G62,'Expenditures 15-22'!I62)+'Expenditures 15-22'!K125-SUM('Expenditures 15-22'!G125,'Expenditures 15-22'!I125)+'Expenditures 15-22'!K182-SUM('Expenditures 15-22'!G182,'Expenditures 15-22'!I182)+'Expenditures 15-22'!D267</f>
        <v>339528</v>
      </c>
      <c r="H29" s="985"/>
    </row>
    <row r="30" spans="1:9" ht="12" customHeight="1" x14ac:dyDescent="0.2">
      <c r="A30" s="994" t="s">
        <v>100</v>
      </c>
      <c r="B30" s="997"/>
      <c r="C30" s="993">
        <v>2560</v>
      </c>
      <c r="D30" s="1802"/>
      <c r="E30" s="1804">
        <f>'Expenditures 15-22'!K63-SUM('Expenditures 15-22'!G63,'Expenditures 15-22'!I63)+'Expenditures 15-22'!D268-E10</f>
        <v>185200</v>
      </c>
      <c r="F30" s="1802"/>
      <c r="G30" s="1804">
        <f>'Expenditures 15-22'!K63-SUM('Expenditures 15-22'!G63,'Expenditures 15-22'!I63)+'Expenditures 15-22'!D268-E10</f>
        <v>185200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201</v>
      </c>
      <c r="F38" s="1802"/>
      <c r="G38" s="1804">
        <f>'Expenditures 15-22'!K73-SUM('Expenditures 15-22'!G73,'Expenditures 15-22'!I73)+'Expenditures 15-22'!K128-SUM('Expenditures 15-22'!G128,'Expenditures 15-22'!I128)+'Expenditures 15-22'!K183-SUM('Expenditures 15-22'!G183,'Expenditures 15-22'!I183)+'Expenditures 15-22'!D278</f>
        <v>201</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133262</v>
      </c>
      <c r="F39" s="1802"/>
      <c r="G39" s="1804">
        <f>'Expenditures 15-22'!K75-SUM('Expenditures 15-22'!G75,'Expenditures 15-22'!I75)+'Expenditures 15-22'!K130-SUM('Expenditures 15-22'!G130,'Expenditures 15-22'!I130)+'Expenditures 15-22'!K185-SUM('Expenditures 15-22'!G185,'Expenditures 15-22'!I185)+'Expenditures 15-22'!D280</f>
        <v>133262</v>
      </c>
    </row>
    <row r="40" spans="1:7" ht="12" customHeight="1" x14ac:dyDescent="0.2">
      <c r="A40" s="990" t="s">
        <v>1823</v>
      </c>
      <c r="B40" s="991"/>
      <c r="C40" s="993"/>
      <c r="D40" s="1802"/>
      <c r="E40" s="1806">
        <f>-'Contracts Paid in CY 29'!G141</f>
        <v>-48</v>
      </c>
      <c r="F40" s="1802"/>
      <c r="G40" s="1806">
        <f>-'Contracts Paid in CY 29'!G141</f>
        <v>-48</v>
      </c>
    </row>
    <row r="41" spans="1:7" ht="12" customHeight="1" x14ac:dyDescent="0.2">
      <c r="A41" s="998" t="s">
        <v>156</v>
      </c>
      <c r="B41" s="999"/>
      <c r="C41" s="1000"/>
      <c r="D41" s="1806">
        <f>SUM(D19:D39)</f>
        <v>172567</v>
      </c>
      <c r="E41" s="1806">
        <f>SUM(E19:E40)</f>
        <v>5306757</v>
      </c>
      <c r="F41" s="1806">
        <f>SUM(F19:F39)</f>
        <v>751885</v>
      </c>
      <c r="G41" s="1806">
        <f>SUM(G19:G40)</f>
        <v>4727439</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172567</v>
      </c>
      <c r="F43" s="1807" t="s">
        <v>473</v>
      </c>
      <c r="G43" s="1808">
        <f>F41</f>
        <v>751885</v>
      </c>
    </row>
    <row r="44" spans="1:7" ht="12" customHeight="1" x14ac:dyDescent="0.2">
      <c r="A44" s="987"/>
      <c r="B44" s="162"/>
      <c r="C44" s="1001"/>
      <c r="D44" s="1807" t="s">
        <v>474</v>
      </c>
      <c r="E44" s="1808">
        <f>E41</f>
        <v>5306757</v>
      </c>
      <c r="F44" s="1807" t="s">
        <v>474</v>
      </c>
      <c r="G44" s="1808">
        <f>G41</f>
        <v>4727439</v>
      </c>
    </row>
    <row r="45" spans="1:7" ht="12" customHeight="1" x14ac:dyDescent="0.2">
      <c r="A45" s="987"/>
      <c r="B45" s="162"/>
      <c r="C45" s="162"/>
      <c r="D45" s="1809" t="s">
        <v>1006</v>
      </c>
      <c r="E45" s="1810">
        <f>(E43/E44)</f>
        <v>3.2518353487826931E-2</v>
      </c>
      <c r="F45" s="1809" t="s">
        <v>1006</v>
      </c>
      <c r="G45" s="1810">
        <f>(G43/G44)</f>
        <v>0.15904700198141108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scaleWithDoc="0">
    <oddHeader>&amp;C&amp;"Arial,Bold"
ESTIMATED INDIRECT COST DATA</oddHeader>
    <oddFooter>&amp;LSee notes to financial statements.&amp;C34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 sqref="A4:F4"/>
      <selection pane="bottomLeft" activeCell="C34" sqref="C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4" t="s">
        <v>1379</v>
      </c>
      <c r="B1" s="2294"/>
      <c r="C1" s="2294"/>
      <c r="D1" s="2294"/>
      <c r="E1" s="2294"/>
      <c r="F1" s="2294"/>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5" t="s">
        <v>1546</v>
      </c>
      <c r="B5" s="2296"/>
      <c r="C5" s="2297"/>
      <c r="D5" s="2297"/>
      <c r="E5" s="2297"/>
      <c r="F5" s="2297"/>
    </row>
    <row r="6" spans="1:10" ht="12" customHeight="1" x14ac:dyDescent="0.25">
      <c r="A6" s="1850"/>
      <c r="B6" s="1851"/>
      <c r="C6" s="2298" t="str">
        <f>COVER!A17</f>
        <v>Carrollton CUSD 1</v>
      </c>
      <c r="D6" s="2298"/>
      <c r="E6" s="2298"/>
      <c r="F6" s="1852"/>
    </row>
    <row r="7" spans="1:10" ht="11.25" customHeight="1" thickBot="1" x14ac:dyDescent="0.3">
      <c r="A7" s="1850"/>
      <c r="B7" s="1851"/>
      <c r="C7" s="2299">
        <f>COVER!A13</f>
        <v>40031001026</v>
      </c>
      <c r="D7" s="2299"/>
      <c r="E7" s="2299"/>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2090</v>
      </c>
      <c r="D24" s="1865" t="s">
        <v>2090</v>
      </c>
      <c r="E24" s="1868" t="s">
        <v>2090</v>
      </c>
      <c r="F24" s="1867" t="s">
        <v>2091</v>
      </c>
      <c r="H24" s="1878">
        <f t="shared" si="0"/>
        <v>5</v>
      </c>
      <c r="I24" s="1878">
        <f t="shared" si="1"/>
        <v>5</v>
      </c>
      <c r="J24" s="1878">
        <f t="shared" si="2"/>
        <v>5</v>
      </c>
    </row>
    <row r="25" spans="1:12" ht="12" customHeight="1" x14ac:dyDescent="0.2">
      <c r="A25" s="1863" t="s">
        <v>1533</v>
      </c>
      <c r="B25" s="1864"/>
      <c r="C25" s="1865" t="s">
        <v>2090</v>
      </c>
      <c r="D25" s="1865"/>
      <c r="E25" s="1868"/>
      <c r="F25" s="1867" t="s">
        <v>2092</v>
      </c>
      <c r="H25" s="1878">
        <f t="shared" si="0"/>
        <v>5</v>
      </c>
      <c r="I25" s="1878">
        <f t="shared" si="1"/>
        <v>0</v>
      </c>
      <c r="J25" s="1878">
        <f t="shared" si="2"/>
        <v>0</v>
      </c>
    </row>
    <row r="26" spans="1:12" ht="12" customHeight="1" x14ac:dyDescent="0.2">
      <c r="A26" s="1863" t="s">
        <v>1534</v>
      </c>
      <c r="B26" s="1864"/>
      <c r="C26" s="1865" t="s">
        <v>2090</v>
      </c>
      <c r="D26" s="1865" t="s">
        <v>2090</v>
      </c>
      <c r="E26" s="1868" t="s">
        <v>2090</v>
      </c>
      <c r="F26" s="1867" t="s">
        <v>2093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2090</v>
      </c>
      <c r="D30" s="1865" t="s">
        <v>2090</v>
      </c>
      <c r="E30" s="1868" t="s">
        <v>2090</v>
      </c>
      <c r="F30" s="1867" t="s">
        <v>2094</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2090</v>
      </c>
      <c r="D33" s="1865" t="s">
        <v>2090</v>
      </c>
      <c r="E33" s="1868" t="s">
        <v>2090</v>
      </c>
      <c r="F33" s="1867" t="s">
        <v>2095</v>
      </c>
      <c r="H33" s="1878">
        <f t="shared" si="0"/>
        <v>5</v>
      </c>
      <c r="I33" s="1878">
        <f t="shared" si="1"/>
        <v>5</v>
      </c>
      <c r="J33" s="1878">
        <f t="shared" si="2"/>
        <v>5</v>
      </c>
    </row>
    <row r="34" spans="1:11" ht="12" customHeight="1" x14ac:dyDescent="0.25">
      <c r="A34" s="1870"/>
      <c r="B34" s="1870"/>
      <c r="C34" s="1870"/>
      <c r="D34" s="1870"/>
      <c r="E34" s="1870"/>
      <c r="F34" s="1870"/>
      <c r="H34" s="1878">
        <f>SUM(H11:H32)</f>
        <v>20</v>
      </c>
      <c r="I34" s="1878">
        <f>SUM(I11:I32)</f>
        <v>15</v>
      </c>
      <c r="J34" s="1878">
        <f>SUM(J11:J32)</f>
        <v>15</v>
      </c>
      <c r="K34" s="1878">
        <f>SUM(H34:J34)</f>
        <v>50</v>
      </c>
    </row>
    <row r="35" spans="1:11" ht="12" customHeight="1" x14ac:dyDescent="0.2">
      <c r="A35" s="1871" t="s">
        <v>1392</v>
      </c>
      <c r="B35" s="1872"/>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302"/>
      <c r="B43" s="2303"/>
      <c r="C43" s="2303"/>
      <c r="D43" s="2303"/>
      <c r="E43" s="2303"/>
      <c r="F43" s="2304"/>
      <c r="H43" s="1879"/>
      <c r="I43" s="1879"/>
      <c r="J43" s="1879"/>
      <c r="K43" s="1879"/>
    </row>
    <row r="44" spans="1:11" s="1870" customFormat="1" ht="12" hidden="1" customHeight="1" x14ac:dyDescent="0.25">
      <c r="A44" s="2302"/>
      <c r="B44" s="2303"/>
      <c r="C44" s="2303"/>
      <c r="D44" s="2303"/>
      <c r="E44" s="2303"/>
      <c r="F44" s="230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25"/>
  <pageSetup scale="84" orientation="landscape" r:id="rId1"/>
  <headerFooter scaleWithDoc="0">
    <oddFooter>&amp;LSee notes to financial statements.&amp;C35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I7" sqref="I7:J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Carrollton CUSD 1</v>
      </c>
      <c r="J6" s="2319"/>
      <c r="Q6" s="1664"/>
    </row>
    <row r="7" spans="1:17" x14ac:dyDescent="0.2">
      <c r="A7" s="2320" t="s">
        <v>869</v>
      </c>
      <c r="B7" s="2321"/>
      <c r="C7" s="2321"/>
      <c r="D7" s="2321"/>
      <c r="E7" s="2322"/>
      <c r="F7" s="1017"/>
      <c r="G7" s="1009"/>
      <c r="H7" s="1016" t="s">
        <v>372</v>
      </c>
      <c r="I7" s="2323">
        <f>COVER!A13</f>
        <v>40031001026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156612</v>
      </c>
      <c r="F12" s="1039"/>
      <c r="G12" s="1811">
        <f t="shared" ref="G12:G18" si="0">SUM(E12:F12)</f>
        <v>156612</v>
      </c>
      <c r="H12" s="1040">
        <v>157286</v>
      </c>
      <c r="I12" s="1039"/>
      <c r="J12" s="1811">
        <f t="shared" ref="J12:J18" si="1">SUM(H12:I12)</f>
        <v>157286</v>
      </c>
    </row>
    <row r="13" spans="1:17" ht="15" customHeight="1" x14ac:dyDescent="0.2">
      <c r="A13" s="1035">
        <v>2</v>
      </c>
      <c r="B13" s="1036" t="s">
        <v>42</v>
      </c>
      <c r="C13" s="1037"/>
      <c r="D13" s="1038">
        <v>2330</v>
      </c>
      <c r="E13" s="1811">
        <f>'Expenditures 15-22'!K51</f>
        <v>19072</v>
      </c>
      <c r="F13" s="1039"/>
      <c r="G13" s="1811">
        <f t="shared" si="0"/>
        <v>19072</v>
      </c>
      <c r="H13" s="1040">
        <v>22397</v>
      </c>
      <c r="I13" s="1039"/>
      <c r="J13" s="1811">
        <f t="shared" si="1"/>
        <v>22397</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175684</v>
      </c>
      <c r="F19" s="1813">
        <f t="shared" si="2"/>
        <v>0</v>
      </c>
      <c r="G19" s="1813">
        <f t="shared" si="2"/>
        <v>175684</v>
      </c>
      <c r="H19" s="1813">
        <f t="shared" si="2"/>
        <v>179683</v>
      </c>
      <c r="I19" s="1813">
        <f t="shared" si="2"/>
        <v>0</v>
      </c>
      <c r="J19" s="1813">
        <f t="shared" si="2"/>
        <v>179683</v>
      </c>
    </row>
    <row r="20" spans="1:10" ht="13.5" thickTop="1" x14ac:dyDescent="0.2">
      <c r="A20" s="1035">
        <v>9</v>
      </c>
      <c r="B20" s="2330" t="s">
        <v>1981</v>
      </c>
      <c r="C20" s="2330"/>
      <c r="D20" s="2331"/>
      <c r="E20" s="1046"/>
      <c r="F20" s="1046"/>
      <c r="G20" s="1046"/>
      <c r="H20" s="1046"/>
      <c r="I20" s="1046"/>
      <c r="J20" s="1814">
        <f>IF(AND(G19&gt;0,J19&gt;0),(((J19-G19)/G19)),"Enter Budget Data")</f>
        <v>2.2762459871132259E-2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1983</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scaleWithDoc="0">
    <oddHeader xml:space="preserve">&amp;C </oddHeader>
    <oddFooter>&amp;LSee notes to financial statements.&amp;C36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32" sqref="B3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674" t="s">
        <v>2139</v>
      </c>
    </row>
    <row r="6" spans="1:2" x14ac:dyDescent="0.2">
      <c r="A6" s="1068"/>
      <c r="B6" s="329" t="s">
        <v>2122</v>
      </c>
    </row>
    <row r="7" spans="1:2" x14ac:dyDescent="0.2">
      <c r="A7" s="1068"/>
    </row>
    <row r="8" spans="1:2" x14ac:dyDescent="0.2">
      <c r="A8" s="1068">
        <v>2</v>
      </c>
      <c r="B8" s="674" t="s">
        <v>2141</v>
      </c>
    </row>
    <row r="9" spans="1:2" x14ac:dyDescent="0.2">
      <c r="A9" s="1069"/>
      <c r="B9" s="329" t="s">
        <v>2124</v>
      </c>
    </row>
    <row r="10" spans="1:2" x14ac:dyDescent="0.2">
      <c r="A10" s="1069"/>
      <c r="B10" s="329" t="s">
        <v>2125</v>
      </c>
    </row>
    <row r="11" spans="1:2" x14ac:dyDescent="0.2">
      <c r="A11" s="1069"/>
      <c r="B11" s="329" t="s">
        <v>2123</v>
      </c>
    </row>
    <row r="12" spans="1:2" x14ac:dyDescent="0.2">
      <c r="A12" s="1069"/>
      <c r="B12" s="329" t="s">
        <v>2126</v>
      </c>
    </row>
    <row r="13" spans="1:2" x14ac:dyDescent="0.2">
      <c r="A13" s="1069"/>
      <c r="B13" s="329" t="s">
        <v>2140</v>
      </c>
    </row>
    <row r="14" spans="1:2" x14ac:dyDescent="0.2">
      <c r="A14" s="1069"/>
      <c r="B14" s="329" t="s">
        <v>2127</v>
      </c>
    </row>
    <row r="15" spans="1:2" x14ac:dyDescent="0.2">
      <c r="A15" s="1069"/>
      <c r="B15" s="329" t="s">
        <v>2128</v>
      </c>
    </row>
    <row r="16" spans="1:2" x14ac:dyDescent="0.2">
      <c r="A16" s="1069"/>
    </row>
    <row r="17" spans="1:2" x14ac:dyDescent="0.2">
      <c r="A17" s="1069">
        <v>3</v>
      </c>
      <c r="B17" s="329" t="s">
        <v>2143</v>
      </c>
    </row>
    <row r="18" spans="1:2" x14ac:dyDescent="0.2">
      <c r="A18" s="1069"/>
      <c r="B18" s="329" t="s">
        <v>2129</v>
      </c>
    </row>
    <row r="19" spans="1:2" x14ac:dyDescent="0.2">
      <c r="A19" s="1069"/>
      <c r="B19" s="329" t="s">
        <v>2130</v>
      </c>
    </row>
    <row r="20" spans="1:2" x14ac:dyDescent="0.2">
      <c r="A20" s="1069"/>
      <c r="B20" s="329" t="s">
        <v>2131</v>
      </c>
    </row>
    <row r="21" spans="1:2" x14ac:dyDescent="0.2">
      <c r="A21" s="1069"/>
      <c r="B21" s="329" t="s">
        <v>2142</v>
      </c>
    </row>
    <row r="22" spans="1:2" x14ac:dyDescent="0.2">
      <c r="A22" s="1069"/>
      <c r="B22" s="329" t="s">
        <v>2132</v>
      </c>
    </row>
    <row r="23" spans="1:2" x14ac:dyDescent="0.2">
      <c r="A23" s="1069"/>
      <c r="B23" s="329" t="s">
        <v>2133</v>
      </c>
    </row>
    <row r="24" spans="1:2" x14ac:dyDescent="0.2">
      <c r="A24" s="1069"/>
    </row>
    <row r="25" spans="1:2" x14ac:dyDescent="0.2">
      <c r="A25" s="1069">
        <v>4</v>
      </c>
      <c r="B25" s="329" t="s">
        <v>2144</v>
      </c>
    </row>
    <row r="26" spans="1:2" x14ac:dyDescent="0.2">
      <c r="A26" s="1069"/>
      <c r="B26" s="329" t="s">
        <v>2134</v>
      </c>
    </row>
    <row r="27" spans="1:2" x14ac:dyDescent="0.2">
      <c r="A27" s="1069"/>
    </row>
    <row r="28" spans="1:2" x14ac:dyDescent="0.2">
      <c r="A28" s="1069">
        <v>5</v>
      </c>
      <c r="B28" s="329" t="s">
        <v>2145</v>
      </c>
    </row>
    <row r="29" spans="1:2" x14ac:dyDescent="0.2">
      <c r="A29" s="1069"/>
      <c r="B29" s="329" t="s">
        <v>2135</v>
      </c>
    </row>
    <row r="30" spans="1:2" x14ac:dyDescent="0.2">
      <c r="A30" s="1069"/>
    </row>
    <row r="31" spans="1:2" x14ac:dyDescent="0.2">
      <c r="A31" s="1069">
        <v>6</v>
      </c>
      <c r="B31" s="329" t="s">
        <v>2146</v>
      </c>
    </row>
    <row r="32" spans="1:2" x14ac:dyDescent="0.2">
      <c r="A32" s="1069"/>
      <c r="B32" s="329" t="s">
        <v>2136</v>
      </c>
    </row>
    <row r="33" spans="1:2" x14ac:dyDescent="0.2">
      <c r="A33" s="1069"/>
    </row>
    <row r="34" spans="1:2" x14ac:dyDescent="0.2">
      <c r="A34" s="1069">
        <v>7</v>
      </c>
      <c r="B34" s="329" t="s">
        <v>2147</v>
      </c>
    </row>
    <row r="35" spans="1:2" x14ac:dyDescent="0.2">
      <c r="B35" s="329" t="s">
        <v>2148</v>
      </c>
    </row>
    <row r="36" spans="1:2" x14ac:dyDescent="0.2">
      <c r="A36" s="1069"/>
    </row>
    <row r="37" spans="1:2" x14ac:dyDescent="0.2">
      <c r="A37" s="1069">
        <v>8</v>
      </c>
      <c r="B37" s="329" t="s">
        <v>665</v>
      </c>
    </row>
    <row r="38" spans="1:2" x14ac:dyDescent="0.2">
      <c r="A38" s="1069"/>
      <c r="B38" s="329" t="s">
        <v>2150</v>
      </c>
    </row>
    <row r="39" spans="1:2" x14ac:dyDescent="0.2">
      <c r="A39" s="1069"/>
      <c r="B39" s="329" t="s">
        <v>2149</v>
      </c>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Carrollton CUSD 1</v>
      </c>
    </row>
    <row r="65" spans="2:2" x14ac:dyDescent="0.2">
      <c r="B65" s="1070">
        <f>COVER!A13</f>
        <v>40031001026</v>
      </c>
    </row>
  </sheetData>
  <phoneticPr fontId="14" type="noConversion"/>
  <pageMargins left="0.2" right="0.2" top="1.17" bottom="0.75" header="0.19" footer="0.25"/>
  <pageSetup scale="78" firstPageNumber="32" orientation="portrait" useFirstPageNumber="1" r:id="rId1"/>
  <headerFooter scaleWithDoc="0">
    <oddHeader xml:space="preserve">&amp;C </oddHeader>
    <oddFooter>&amp;LSee notes to financial statements.&amp;C37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4" sqref="A4:F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104775</xdr:colOff>
                <xdr:row>1</xdr:row>
                <xdr:rowOff>76200</xdr:rowOff>
              </from>
              <to>
                <xdr:col>1</xdr:col>
                <xdr:colOff>1019175</xdr:colOff>
                <xdr:row>6</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1095375</xdr:colOff>
                <xdr:row>1</xdr:row>
                <xdr:rowOff>114300</xdr:rowOff>
              </from>
              <to>
                <xdr:col>1</xdr:col>
                <xdr:colOff>2009775</xdr:colOff>
                <xdr:row>6</xdr:row>
                <xdr:rowOff>76200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123825</xdr:colOff>
                <xdr:row>6</xdr:row>
                <xdr:rowOff>142875</xdr:rowOff>
              </from>
              <to>
                <xdr:col>1</xdr:col>
                <xdr:colOff>1038225</xdr:colOff>
                <xdr:row>11</xdr:row>
                <xdr:rowOff>104775</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1133475</xdr:colOff>
                <xdr:row>7</xdr:row>
                <xdr:rowOff>28575</xdr:rowOff>
              </from>
              <to>
                <xdr:col>1</xdr:col>
                <xdr:colOff>2047875</xdr:colOff>
                <xdr:row>11</xdr:row>
                <xdr:rowOff>152400</xdr:rowOff>
              </to>
            </anchor>
          </objectPr>
        </oleObject>
      </mc:Choice>
      <mc:Fallback>
        <oleObject progId="Acrobat Document" dvAspect="DVASPECT_ICON" shapeId="3789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1987</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1988</v>
      </c>
      <c r="B4" s="2358"/>
      <c r="C4" s="2358"/>
      <c r="D4" s="2358"/>
      <c r="E4" s="2358"/>
      <c r="F4" s="2359"/>
      <c r="G4" s="1074"/>
      <c r="H4" s="1074"/>
    </row>
    <row r="5" spans="1:8" ht="14.25" customHeight="1" x14ac:dyDescent="0.2">
      <c r="A5" s="2360" t="s">
        <v>1984</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4882603</v>
      </c>
      <c r="C8" s="1815">
        <f>'Acct Summary 7-8'!D8</f>
        <v>406648</v>
      </c>
      <c r="D8" s="1815">
        <f>'Acct Summary 7-8'!F8</f>
        <v>348382</v>
      </c>
      <c r="E8" s="1815">
        <f>'Acct Summary 7-8'!I8</f>
        <v>13327</v>
      </c>
      <c r="F8" s="1815">
        <f>SUM(B8:E8)</f>
        <v>5650960</v>
      </c>
    </row>
    <row r="9" spans="1:8" s="1079" customFormat="1" ht="14.25" customHeight="1" thickBot="1" x14ac:dyDescent="0.25">
      <c r="A9" s="1078" t="s">
        <v>1369</v>
      </c>
      <c r="B9" s="1816">
        <f>'Acct Summary 7-8'!C17</f>
        <v>4810391</v>
      </c>
      <c r="C9" s="1816">
        <f>'Acct Summary 7-8'!D17</f>
        <v>406184</v>
      </c>
      <c r="D9" s="1816">
        <f>'Acct Summary 7-8'!F17</f>
        <v>347455</v>
      </c>
      <c r="E9" s="1815"/>
      <c r="F9" s="1815">
        <f>SUM(B9:E9)</f>
        <v>5564030</v>
      </c>
    </row>
    <row r="10" spans="1:8" s="1079" customFormat="1" ht="14.25" thickTop="1" thickBot="1" x14ac:dyDescent="0.25">
      <c r="A10" s="1080" t="s">
        <v>1370</v>
      </c>
      <c r="B10" s="1817">
        <f>(B8-B9)</f>
        <v>72212</v>
      </c>
      <c r="C10" s="1817">
        <f>(C8-C9)</f>
        <v>464</v>
      </c>
      <c r="D10" s="1817">
        <f>(D8-D9)</f>
        <v>927</v>
      </c>
      <c r="E10" s="1816">
        <f>(E8-E9)</f>
        <v>13327</v>
      </c>
      <c r="F10" s="1818">
        <f>SUM(F8-F9)</f>
        <v>86930</v>
      </c>
    </row>
    <row r="11" spans="1:8" s="1079" customFormat="1" ht="14.25" thickTop="1" thickBot="1" x14ac:dyDescent="0.25">
      <c r="A11" s="1081" t="s">
        <v>1985</v>
      </c>
      <c r="B11" s="1819">
        <f>'Acct Summary 7-8'!C81</f>
        <v>1240955</v>
      </c>
      <c r="C11" s="1819">
        <f>'Acct Summary 7-8'!D81</f>
        <v>249394</v>
      </c>
      <c r="D11" s="1819">
        <f>'Acct Summary 7-8'!F81</f>
        <v>380956</v>
      </c>
      <c r="E11" s="1819">
        <f>'Acct Summary 7-8'!I81</f>
        <v>163804</v>
      </c>
      <c r="F11" s="1820">
        <f>SUM(B11:E11)</f>
        <v>2035109</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25"/>
  <pageSetup firstPageNumber="19" fitToHeight="0" orientation="landscape" useFirstPageNumber="1" r:id="rId1"/>
  <headerFooter scaleWithDoc="0">
    <oddFooter>&amp;LSee notes to financial statements.&amp;C38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ERROR!</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scaleWithDoc="0">
    <oddFooter>&amp;LSee notes to financial statements.&amp;C39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40031001026</v>
      </c>
    </row>
    <row r="3" spans="1:2" x14ac:dyDescent="0.2">
      <c r="A3" t="s">
        <v>956</v>
      </c>
      <c r="B3" s="138" t="str">
        <f>COVER!A15</f>
        <v>GREENE</v>
      </c>
    </row>
    <row r="4" spans="1:2" x14ac:dyDescent="0.2">
      <c r="A4" t="s">
        <v>1007</v>
      </c>
      <c r="B4" s="138" t="str">
        <f>COVER!A17</f>
        <v>Carrollton CUSD 1</v>
      </c>
    </row>
    <row r="5" spans="1:2" x14ac:dyDescent="0.2">
      <c r="A5" t="s">
        <v>704</v>
      </c>
      <c r="B5" s="138" t="str">
        <f>COVER!A38</f>
        <v>MR. MARK HALWACHS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65.025899999999993</v>
      </c>
    </row>
    <row r="16" spans="1:2" x14ac:dyDescent="0.2">
      <c r="A16" t="s">
        <v>422</v>
      </c>
      <c r="B16" s="138" t="str">
        <f>COVER!T13</f>
        <v>SCHEFFEL BOYLE</v>
      </c>
    </row>
    <row r="17" spans="1:2" x14ac:dyDescent="0.2">
      <c r="A17" t="s">
        <v>884</v>
      </c>
      <c r="B17" s="138" t="str">
        <f>COVER!T15</f>
        <v>DANIEL PHIPPS</v>
      </c>
    </row>
    <row r="18" spans="1:2" x14ac:dyDescent="0.2">
      <c r="A18" t="s">
        <v>1150</v>
      </c>
      <c r="B18" s="138" t="str">
        <f>COVER!T17</f>
        <v>106 W. COUNTY ROAD</v>
      </c>
    </row>
    <row r="19" spans="1:2" x14ac:dyDescent="0.2">
      <c r="A19" t="s">
        <v>886</v>
      </c>
      <c r="B19" s="138" t="str">
        <f>COVER!T25</f>
        <v>danny.phipps@scheffelboyle.com</v>
      </c>
    </row>
    <row r="20" spans="1:2" x14ac:dyDescent="0.2">
      <c r="A20" t="s">
        <v>887</v>
      </c>
      <c r="B20" s="138" t="str">
        <f>COVER!T19</f>
        <v>JERSEYVILLE</v>
      </c>
    </row>
    <row r="21" spans="1:2" x14ac:dyDescent="0.2">
      <c r="A21" t="s">
        <v>479</v>
      </c>
      <c r="B21" s="138" t="str">
        <f>COVER!X19</f>
        <v>IL</v>
      </c>
    </row>
    <row r="22" spans="1:2" x14ac:dyDescent="0.2">
      <c r="A22" t="s">
        <v>888</v>
      </c>
      <c r="B22" s="138">
        <f>COVER!Z19</f>
        <v>62052</v>
      </c>
    </row>
    <row r="23" spans="1:2" x14ac:dyDescent="0.2">
      <c r="A23" t="s">
        <v>1152</v>
      </c>
      <c r="B23" s="138" t="str">
        <f>COVER!T21</f>
        <v>618-498-6841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36831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141000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1243040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2085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2085</v>
      </c>
      <c r="C91" s="2" t="s">
        <v>573</v>
      </c>
      <c r="D91" s="2" t="str">
        <f t="shared" si="0"/>
        <v>Error?</v>
      </c>
    </row>
    <row r="92" spans="1:4" x14ac:dyDescent="0.2">
      <c r="A92" s="5">
        <v>31</v>
      </c>
      <c r="B92" s="138">
        <f>'Assets-Liab 5-6'!C39</f>
        <v>1185789</v>
      </c>
      <c r="D92" s="2" t="str">
        <f t="shared" si="0"/>
        <v>Error?</v>
      </c>
    </row>
    <row r="93" spans="1:4" x14ac:dyDescent="0.2">
      <c r="A93" s="5">
        <v>32</v>
      </c>
      <c r="B93" s="138">
        <f>'Assets-Liab 5-6'!C41</f>
        <v>1243040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249394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249394</v>
      </c>
      <c r="D123" s="2" t="str">
        <f t="shared" si="0"/>
        <v>Error?</v>
      </c>
    </row>
    <row r="124" spans="1:4" x14ac:dyDescent="0.2">
      <c r="A124" s="5">
        <v>63</v>
      </c>
      <c r="B124" s="138">
        <f>'Assets-Liab 5-6'!D41</f>
        <v>249394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108784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108784</v>
      </c>
      <c r="D140" s="2" t="str">
        <f t="shared" si="1"/>
        <v>Error?</v>
      </c>
    </row>
    <row r="141" spans="1:4" x14ac:dyDescent="0.2">
      <c r="A141" s="5">
        <v>80</v>
      </c>
      <c r="B141" s="138">
        <f>'Assets-Liab 5-6'!E41</f>
        <v>108784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74086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380956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380956</v>
      </c>
      <c r="D170" s="2" t="str">
        <f t="shared" si="1"/>
        <v>Error?</v>
      </c>
    </row>
    <row r="171" spans="1:4" x14ac:dyDescent="0.2">
      <c r="A171" s="5">
        <v>110</v>
      </c>
      <c r="B171" s="138">
        <f>'Assets-Liab 5-6'!F41</f>
        <v>380956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33069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33069</v>
      </c>
      <c r="D189" s="2" t="str">
        <f t="shared" si="1"/>
        <v>Error?</v>
      </c>
    </row>
    <row r="190" spans="1:4" x14ac:dyDescent="0.2">
      <c r="A190" s="5">
        <v>129</v>
      </c>
      <c r="B190" s="138">
        <f>'Assets-Liab 5-6'!G41</f>
        <v>33069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1728165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125472</v>
      </c>
      <c r="D212" s="2" t="str">
        <f t="shared" si="2"/>
        <v>Error?</v>
      </c>
    </row>
    <row r="213" spans="1:4" x14ac:dyDescent="0.2">
      <c r="A213" s="12">
        <v>152</v>
      </c>
      <c r="B213" s="138">
        <f>'Assets-Liab 5-6'!H41</f>
        <v>1728165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121982</v>
      </c>
      <c r="D273" s="2" t="str">
        <f t="shared" si="3"/>
        <v>Error?</v>
      </c>
    </row>
    <row r="274" spans="1:4" x14ac:dyDescent="0.2">
      <c r="A274" s="5">
        <v>213</v>
      </c>
      <c r="B274" s="138">
        <f>'Assets-Liab 5-6'!M17</f>
        <v>9398671</v>
      </c>
      <c r="D274" s="2" t="str">
        <f t="shared" si="3"/>
        <v>Error?</v>
      </c>
    </row>
    <row r="275" spans="1:4" x14ac:dyDescent="0.2">
      <c r="A275" s="5">
        <v>214</v>
      </c>
      <c r="B275" s="138">
        <f>'Assets-Liab 5-6'!M18</f>
        <v>1845730</v>
      </c>
      <c r="D275" s="2" t="str">
        <f t="shared" si="3"/>
        <v>Error?</v>
      </c>
    </row>
    <row r="276" spans="1:4" x14ac:dyDescent="0.2">
      <c r="A276" s="5">
        <v>215</v>
      </c>
      <c r="B276" s="138">
        <f>'Assets-Liab 5-6'!M19</f>
        <v>3148837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14517360</v>
      </c>
      <c r="C279" s="2" t="s">
        <v>573</v>
      </c>
      <c r="D279" s="2" t="str">
        <f t="shared" si="3"/>
        <v>Error?</v>
      </c>
    </row>
    <row r="280" spans="1:4" x14ac:dyDescent="0.2">
      <c r="A280" s="5">
        <v>219</v>
      </c>
      <c r="B280" s="138">
        <f>'Assets-Liab 5-6'!M40</f>
        <v>14517360</v>
      </c>
      <c r="D280" s="2" t="str">
        <f t="shared" si="3"/>
        <v>Error?</v>
      </c>
    </row>
    <row r="281" spans="1:4" x14ac:dyDescent="0.2">
      <c r="A281" s="5">
        <v>220</v>
      </c>
      <c r="B281" s="138">
        <f>'Assets-Liab 5-6'!M41</f>
        <v>14517360</v>
      </c>
      <c r="C281" s="2" t="s">
        <v>573</v>
      </c>
      <c r="D281" s="2" t="str">
        <f t="shared" si="3"/>
        <v>Error?</v>
      </c>
    </row>
    <row r="282" spans="1:4" x14ac:dyDescent="0.2">
      <c r="A282" s="5">
        <v>221</v>
      </c>
      <c r="B282" s="138">
        <f>'Assets-Liab 5-6'!N21</f>
        <v>108784</v>
      </c>
      <c r="D282" s="2" t="str">
        <f t="shared" si="3"/>
        <v>Error?</v>
      </c>
    </row>
    <row r="283" spans="1:4" x14ac:dyDescent="0.2">
      <c r="A283" s="5">
        <v>222</v>
      </c>
      <c r="B283" s="138">
        <f>'Assets-Liab 5-6'!N22</f>
        <v>3890221</v>
      </c>
      <c r="D283" s="2" t="str">
        <f t="shared" si="3"/>
        <v>Error?</v>
      </c>
    </row>
    <row r="284" spans="1:4" x14ac:dyDescent="0.2">
      <c r="A284" s="5">
        <v>223</v>
      </c>
      <c r="B284" s="138">
        <f>'Assets-Liab 5-6'!N23</f>
        <v>3999005</v>
      </c>
      <c r="C284" s="2" t="s">
        <v>573</v>
      </c>
      <c r="D284" s="2" t="str">
        <f t="shared" si="3"/>
        <v>Error?</v>
      </c>
    </row>
    <row r="285" spans="1:4" x14ac:dyDescent="0.2">
      <c r="A285" s="5">
        <v>224</v>
      </c>
      <c r="B285" s="138">
        <f>'Assets-Liab 5-6'!N36</f>
        <v>3999005</v>
      </c>
      <c r="D285" s="2" t="str">
        <f t="shared" si="3"/>
        <v>Error?</v>
      </c>
    </row>
    <row r="286" spans="1:4" x14ac:dyDescent="0.2">
      <c r="A286" s="10">
        <v>225</v>
      </c>
      <c r="D286" s="2" t="str">
        <f t="shared" si="3"/>
        <v>OK</v>
      </c>
    </row>
    <row r="287" spans="1:4" x14ac:dyDescent="0.2">
      <c r="A287" s="5">
        <v>226</v>
      </c>
      <c r="B287" s="138">
        <f>'Assets-Liab 5-6'!N37</f>
        <v>3999005</v>
      </c>
      <c r="C287" s="2" t="s">
        <v>573</v>
      </c>
      <c r="D287" s="2" t="str">
        <f t="shared" si="3"/>
        <v>Error?</v>
      </c>
    </row>
    <row r="288" spans="1:4" x14ac:dyDescent="0.2">
      <c r="A288" s="5">
        <v>227</v>
      </c>
      <c r="B288" s="138">
        <f>'Assets-Liab 5-6'!N41</f>
        <v>3999005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1575000</v>
      </c>
      <c r="D618" s="2" t="str">
        <f t="shared" si="8"/>
        <v>Error?</v>
      </c>
    </row>
    <row r="619" spans="1:4" x14ac:dyDescent="0.2">
      <c r="A619" s="5">
        <v>558</v>
      </c>
      <c r="B619" s="138">
        <f>'Acct Summary 7-8'!H34</f>
        <v>95520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1481281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136506</v>
      </c>
      <c r="D717" s="2" t="str">
        <f t="shared" si="10"/>
        <v>Error?</v>
      </c>
    </row>
    <row r="718" spans="1:4" x14ac:dyDescent="0.2">
      <c r="A718" s="5">
        <v>657</v>
      </c>
      <c r="B718" s="138">
        <f>'Expenditures 15-22'!C14</f>
        <v>53332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2325547</v>
      </c>
      <c r="C720" s="2" t="s">
        <v>573</v>
      </c>
      <c r="D720" s="2" t="str">
        <f t="shared" si="10"/>
        <v>Error?</v>
      </c>
    </row>
    <row r="721" spans="1:4" x14ac:dyDescent="0.2">
      <c r="A721" s="5">
        <v>660</v>
      </c>
      <c r="B721" s="138">
        <f>'Expenditures 15-22'!C36</f>
        <v>63664</v>
      </c>
      <c r="D721" s="2" t="str">
        <f t="shared" si="10"/>
        <v>Error?</v>
      </c>
    </row>
    <row r="722" spans="1:4" x14ac:dyDescent="0.2">
      <c r="A722" s="5">
        <v>661</v>
      </c>
      <c r="B722" s="138">
        <f>'Expenditures 15-22'!C37</f>
        <v>40737</v>
      </c>
      <c r="D722" s="2" t="str">
        <f t="shared" si="10"/>
        <v>Error?</v>
      </c>
    </row>
    <row r="723" spans="1:4" x14ac:dyDescent="0.2">
      <c r="A723" s="5">
        <v>662</v>
      </c>
      <c r="B723" s="138">
        <f>'Expenditures 15-22'!C38</f>
        <v>44397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148798</v>
      </c>
      <c r="C727" s="2" t="s">
        <v>573</v>
      </c>
      <c r="D727" s="2" t="str">
        <f t="shared" si="10"/>
        <v>Error?</v>
      </c>
    </row>
    <row r="728" spans="1:4" x14ac:dyDescent="0.2">
      <c r="A728" s="5">
        <v>667</v>
      </c>
      <c r="B728" s="138">
        <f>'Expenditures 15-22'!C44</f>
        <v>600</v>
      </c>
      <c r="D728" s="2" t="str">
        <f t="shared" si="10"/>
        <v>Error?</v>
      </c>
    </row>
    <row r="729" spans="1:4" x14ac:dyDescent="0.2">
      <c r="A729" s="5">
        <v>668</v>
      </c>
      <c r="B729" s="138">
        <f>'Expenditures 15-22'!C45</f>
        <v>8714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9314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150966</v>
      </c>
      <c r="D733" s="2" t="str">
        <f t="shared" si="10"/>
        <v>Error?</v>
      </c>
    </row>
    <row r="734" spans="1:4" x14ac:dyDescent="0.2">
      <c r="A734" s="5">
        <v>673</v>
      </c>
      <c r="B734" s="138">
        <f>'Expenditures 15-22'!C53</f>
        <v>158772</v>
      </c>
      <c r="C734" s="2" t="s">
        <v>573</v>
      </c>
      <c r="D734" s="2" t="str">
        <f t="shared" si="10"/>
        <v>Error?</v>
      </c>
    </row>
    <row r="735" spans="1:4" x14ac:dyDescent="0.2">
      <c r="A735" s="5">
        <v>674</v>
      </c>
      <c r="B735" s="138">
        <f>'Expenditures 15-22'!C55</f>
        <v>236005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236005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111031</v>
      </c>
      <c r="D739" s="2" t="str">
        <f t="shared" si="10"/>
        <v>Error?</v>
      </c>
    </row>
    <row r="740" spans="1:4" x14ac:dyDescent="0.2">
      <c r="A740" s="5">
        <v>679</v>
      </c>
      <c r="B740" s="138">
        <f>'Expenditures 15-22'!C61</f>
        <v>65411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64449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240891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793780</v>
      </c>
      <c r="C755" s="2" t="s">
        <v>573</v>
      </c>
      <c r="D755" s="2" t="str">
        <f t="shared" si="10"/>
        <v>Error?</v>
      </c>
    </row>
    <row r="756" spans="1:4" x14ac:dyDescent="0.2">
      <c r="A756" s="5">
        <v>695</v>
      </c>
      <c r="B756" s="138">
        <f>'Expenditures 15-22'!C75</f>
        <v>69006</v>
      </c>
      <c r="D756" s="2" t="str">
        <f t="shared" si="10"/>
        <v>Error?</v>
      </c>
    </row>
    <row r="757" spans="1:4" x14ac:dyDescent="0.2">
      <c r="A757" s="5">
        <v>696</v>
      </c>
      <c r="B757" s="138">
        <f>'Expenditures 15-22'!C114</f>
        <v>3188333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162576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14345</v>
      </c>
      <c r="D775" s="2" t="str">
        <f t="shared" si="11"/>
        <v>Error?</v>
      </c>
    </row>
    <row r="776" spans="1:4" x14ac:dyDescent="0.2">
      <c r="A776" s="5">
        <v>715</v>
      </c>
      <c r="B776" s="138">
        <f>'Expenditures 15-22'!D14</f>
        <v>544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248965</v>
      </c>
      <c r="C778" s="2" t="s">
        <v>573</v>
      </c>
      <c r="D778" s="2" t="str">
        <f t="shared" si="11"/>
        <v>Error?</v>
      </c>
    </row>
    <row r="779" spans="1:4" x14ac:dyDescent="0.2">
      <c r="A779" s="5">
        <v>718</v>
      </c>
      <c r="B779" s="138">
        <f>'Expenditures 15-22'!D36</f>
        <v>10770</v>
      </c>
      <c r="D779" s="2" t="str">
        <f t="shared" si="11"/>
        <v>Error?</v>
      </c>
    </row>
    <row r="780" spans="1:4" x14ac:dyDescent="0.2">
      <c r="A780" s="5">
        <v>719</v>
      </c>
      <c r="B780" s="138">
        <f>'Expenditures 15-22'!D37</f>
        <v>6749</v>
      </c>
      <c r="D780" s="2" t="str">
        <f t="shared" si="11"/>
        <v>Error?</v>
      </c>
    </row>
    <row r="781" spans="1:4" x14ac:dyDescent="0.2">
      <c r="A781" s="5">
        <v>720</v>
      </c>
      <c r="B781" s="138">
        <f>'Expenditures 15-22'!D38</f>
        <v>6121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23640</v>
      </c>
      <c r="C785" s="2" t="s">
        <v>573</v>
      </c>
      <c r="D785" s="2" t="str">
        <f t="shared" si="11"/>
        <v>Error?</v>
      </c>
    </row>
    <row r="786" spans="1:4" x14ac:dyDescent="0.2">
      <c r="A786" s="5">
        <v>725</v>
      </c>
      <c r="B786" s="138">
        <f>'Expenditures 15-22'!D44</f>
        <v>337</v>
      </c>
      <c r="D786" s="2" t="str">
        <f t="shared" si="11"/>
        <v>Error?</v>
      </c>
    </row>
    <row r="787" spans="1:4" x14ac:dyDescent="0.2">
      <c r="A787" s="5">
        <v>726</v>
      </c>
      <c r="B787" s="138">
        <f>'Expenditures 15-22'!D45</f>
        <v>74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411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2300</v>
      </c>
      <c r="D791" s="2" t="str">
        <f t="shared" si="11"/>
        <v>Error?</v>
      </c>
    </row>
    <row r="792" spans="1:4" x14ac:dyDescent="0.2">
      <c r="A792" s="5">
        <v>731</v>
      </c>
      <c r="B792" s="138">
        <f>'Expenditures 15-22'!D53</f>
        <v>2333</v>
      </c>
      <c r="C792" s="2" t="s">
        <v>573</v>
      </c>
      <c r="D792" s="2" t="str">
        <f t="shared" si="11"/>
        <v>Error?</v>
      </c>
    </row>
    <row r="793" spans="1:4" x14ac:dyDescent="0.2">
      <c r="A793" s="5">
        <v>732</v>
      </c>
      <c r="B793" s="138">
        <f>'Expenditures 15-22'!D55</f>
        <v>49242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49242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18393</v>
      </c>
      <c r="D797" s="2" t="str">
        <f t="shared" si="11"/>
        <v>Error?</v>
      </c>
    </row>
    <row r="798" spans="1:4" x14ac:dyDescent="0.2">
      <c r="A798" s="5">
        <v>737</v>
      </c>
      <c r="B798" s="138">
        <f>'Expenditures 15-22'!D61</f>
        <v>6153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13586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38132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113758</v>
      </c>
      <c r="C813" s="2" t="s">
        <v>573</v>
      </c>
      <c r="D813" s="2" t="str">
        <f t="shared" si="11"/>
        <v>Error?</v>
      </c>
    </row>
    <row r="814" spans="1:4" x14ac:dyDescent="0.2">
      <c r="A814" s="5">
        <v>753</v>
      </c>
      <c r="B814" s="138">
        <f>'Expenditures 15-22'!D75</f>
        <v>5205</v>
      </c>
      <c r="D814" s="2" t="str">
        <f t="shared" si="11"/>
        <v>Error?</v>
      </c>
    </row>
    <row r="815" spans="1:4" x14ac:dyDescent="0.2">
      <c r="A815" s="5">
        <v>754</v>
      </c>
      <c r="B815" s="138">
        <f>'Expenditures 15-22'!D114</f>
        <v>367928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87416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9162</v>
      </c>
      <c r="D833" s="2" t="str">
        <f t="shared" si="12"/>
        <v>Error?</v>
      </c>
    </row>
    <row r="834" spans="1:4" x14ac:dyDescent="0.2">
      <c r="A834" s="5">
        <v>773</v>
      </c>
      <c r="B834" s="138">
        <f>'Expenditures 15-22'!E14</f>
        <v>34507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148259</v>
      </c>
      <c r="C836" s="2" t="s">
        <v>573</v>
      </c>
      <c r="D836" s="2" t="str">
        <f t="shared" si="12"/>
        <v>Error?</v>
      </c>
    </row>
    <row r="837" spans="1:4" x14ac:dyDescent="0.2">
      <c r="A837" s="5">
        <v>776</v>
      </c>
      <c r="B837" s="138">
        <f>'Expenditures 15-22'!E36</f>
        <v>597</v>
      </c>
      <c r="D837" s="2" t="str">
        <f t="shared" si="12"/>
        <v>Error?</v>
      </c>
    </row>
    <row r="838" spans="1:4" x14ac:dyDescent="0.2">
      <c r="A838" s="5">
        <v>777</v>
      </c>
      <c r="B838" s="138">
        <f>'Expenditures 15-22'!E37</f>
        <v>1959</v>
      </c>
      <c r="D838" s="2" t="str">
        <f t="shared" si="12"/>
        <v>Error?</v>
      </c>
    </row>
    <row r="839" spans="1:4" x14ac:dyDescent="0.2">
      <c r="A839" s="5">
        <v>778</v>
      </c>
      <c r="B839" s="138">
        <f>'Expenditures 15-22'!E38</f>
        <v>2138</v>
      </c>
      <c r="D839" s="2" t="str">
        <f t="shared" si="12"/>
        <v>Error?</v>
      </c>
    </row>
    <row r="840" spans="1:4" x14ac:dyDescent="0.2">
      <c r="A840" s="5">
        <v>779</v>
      </c>
      <c r="B840" s="138">
        <f>'Expenditures 15-22'!E39</f>
        <v>25048</v>
      </c>
      <c r="D840" s="2" t="str">
        <f t="shared" si="12"/>
        <v>Error?</v>
      </c>
    </row>
    <row r="841" spans="1:4" x14ac:dyDescent="0.2">
      <c r="A841" s="5">
        <v>780</v>
      </c>
      <c r="B841" s="138">
        <f>'Expenditures 15-22'!E40</f>
        <v>39325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69067</v>
      </c>
      <c r="C843" s="2" t="s">
        <v>573</v>
      </c>
      <c r="D843" s="2" t="str">
        <f t="shared" si="12"/>
        <v>Error?</v>
      </c>
    </row>
    <row r="844" spans="1:4" x14ac:dyDescent="0.2">
      <c r="A844" s="5">
        <v>783</v>
      </c>
      <c r="B844" s="138">
        <f>'Expenditures 15-22'!E44</f>
        <v>48859</v>
      </c>
      <c r="D844" s="2" t="str">
        <f t="shared" si="12"/>
        <v>Error?</v>
      </c>
    </row>
    <row r="845" spans="1:4" x14ac:dyDescent="0.2">
      <c r="A845" s="5">
        <v>784</v>
      </c>
      <c r="B845" s="138">
        <f>'Expenditures 15-22'!E45</f>
        <v>3140</v>
      </c>
      <c r="D845" s="2" t="str">
        <f t="shared" si="12"/>
        <v>Error?</v>
      </c>
    </row>
    <row r="846" spans="1:4" x14ac:dyDescent="0.2">
      <c r="A846" s="5">
        <v>785</v>
      </c>
      <c r="B846" s="138">
        <f>'Expenditures 15-22'!E46</f>
        <v>6488</v>
      </c>
      <c r="D846" s="2" t="str">
        <f t="shared" si="12"/>
        <v>Error?</v>
      </c>
    </row>
    <row r="847" spans="1:4" x14ac:dyDescent="0.2">
      <c r="A847" s="5">
        <v>786</v>
      </c>
      <c r="B847" s="138">
        <f>'Expenditures 15-22'!E47</f>
        <v>58487</v>
      </c>
      <c r="C847" s="2" t="s">
        <v>573</v>
      </c>
      <c r="D847" s="2" t="str">
        <f t="shared" si="12"/>
        <v>Error?</v>
      </c>
    </row>
    <row r="848" spans="1:4" x14ac:dyDescent="0.2">
      <c r="A848" s="5">
        <v>787</v>
      </c>
      <c r="B848" s="138">
        <f>'Expenditures 15-22'!E49</f>
        <v>66726</v>
      </c>
      <c r="D848" s="2" t="str">
        <f t="shared" si="12"/>
        <v>Error?</v>
      </c>
    </row>
    <row r="849" spans="1:4" x14ac:dyDescent="0.2">
      <c r="A849" s="5">
        <v>788</v>
      </c>
      <c r="B849" s="138">
        <f>'Expenditures 15-22'!E50</f>
        <v>3346</v>
      </c>
      <c r="D849" s="2" t="str">
        <f t="shared" si="12"/>
        <v>Error?</v>
      </c>
    </row>
    <row r="850" spans="1:4" x14ac:dyDescent="0.2">
      <c r="A850" s="5">
        <v>789</v>
      </c>
      <c r="B850" s="138">
        <f>'Expenditures 15-22'!E53</f>
        <v>78022</v>
      </c>
      <c r="C850" s="2" t="s">
        <v>573</v>
      </c>
      <c r="D850" s="2" t="str">
        <f t="shared" si="12"/>
        <v>Error?</v>
      </c>
    </row>
    <row r="851" spans="1:4" x14ac:dyDescent="0.2">
      <c r="A851" s="5">
        <v>790</v>
      </c>
      <c r="B851" s="138">
        <f>'Expenditures 15-22'!E55</f>
        <v>1898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1898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19383</v>
      </c>
      <c r="D855" s="2" t="str">
        <f t="shared" si="12"/>
        <v>Error?</v>
      </c>
    </row>
    <row r="856" spans="1:4" x14ac:dyDescent="0.2">
      <c r="A856" s="5">
        <v>795</v>
      </c>
      <c r="B856" s="138">
        <f>'Expenditures 15-22'!E61</f>
        <v>53809</v>
      </c>
      <c r="D856" s="2" t="str">
        <f t="shared" si="12"/>
        <v>Error?</v>
      </c>
    </row>
    <row r="857" spans="1:4" x14ac:dyDescent="0.2">
      <c r="A857" s="5">
        <v>796</v>
      </c>
      <c r="B857" s="138">
        <f>'Expenditures 15-22'!E62</f>
        <v>24192</v>
      </c>
      <c r="D857" s="2" t="str">
        <f t="shared" si="12"/>
        <v>Error?</v>
      </c>
    </row>
    <row r="858" spans="1:4" x14ac:dyDescent="0.2">
      <c r="A858" s="5">
        <v>797</v>
      </c>
      <c r="B858" s="138">
        <f>'Expenditures 15-22'!E63</f>
        <v>4098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101482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308956</v>
      </c>
      <c r="C871" s="2" t="s">
        <v>573</v>
      </c>
      <c r="D871" s="2" t="str">
        <f t="shared" si="12"/>
        <v>Error?</v>
      </c>
    </row>
    <row r="872" spans="1:4" x14ac:dyDescent="0.2">
      <c r="A872" s="5">
        <v>811</v>
      </c>
      <c r="B872" s="138">
        <f>'Expenditures 15-22'!E75</f>
        <v>16707</v>
      </c>
      <c r="D872" s="2" t="str">
        <f t="shared" si="12"/>
        <v>Error?</v>
      </c>
    </row>
    <row r="873" spans="1:4" x14ac:dyDescent="0.2">
      <c r="A873" s="5">
        <v>812</v>
      </c>
      <c r="B873" s="138">
        <f>'Expenditures 15-22'!E114</f>
        <v>476977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136321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18971</v>
      </c>
      <c r="D891" s="2" t="str">
        <f t="shared" si="12"/>
        <v>Error?</v>
      </c>
    </row>
    <row r="892" spans="1:4" x14ac:dyDescent="0.2">
      <c r="A892" s="5">
        <v>831</v>
      </c>
      <c r="B892" s="138">
        <f>'Expenditures 15-22'!F14</f>
        <v>22057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212479</v>
      </c>
      <c r="C894" s="2" t="s">
        <v>573</v>
      </c>
      <c r="D894" s="2" t="str">
        <f t="shared" si="12"/>
        <v>Error?</v>
      </c>
    </row>
    <row r="895" spans="1:4" x14ac:dyDescent="0.2">
      <c r="A895" s="5">
        <v>834</v>
      </c>
      <c r="B895" s="138">
        <f>'Expenditures 15-22'!F36</f>
        <v>4629</v>
      </c>
      <c r="D895" s="2" t="str">
        <f t="shared" ref="D895:D958" si="13">IF(ISBLANK(B895),"OK",IF(A895-B895=0,"OK","Error?"))</f>
        <v>Error?</v>
      </c>
    </row>
    <row r="896" spans="1:4" x14ac:dyDescent="0.2">
      <c r="A896" s="5">
        <v>835</v>
      </c>
      <c r="B896" s="138">
        <f>'Expenditures 15-22'!F37</f>
        <v>515</v>
      </c>
      <c r="D896" s="2" t="str">
        <f t="shared" si="13"/>
        <v>Error?</v>
      </c>
    </row>
    <row r="897" spans="1:4" x14ac:dyDescent="0.2">
      <c r="A897" s="5">
        <v>836</v>
      </c>
      <c r="B897" s="138">
        <f>'Expenditures 15-22'!F38</f>
        <v>2643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8220</v>
      </c>
      <c r="C901" s="2" t="s">
        <v>573</v>
      </c>
      <c r="D901" s="2" t="str">
        <f t="shared" si="13"/>
        <v>Error?</v>
      </c>
    </row>
    <row r="902" spans="1:4" x14ac:dyDescent="0.2">
      <c r="A902" s="5">
        <v>841</v>
      </c>
      <c r="B902" s="138">
        <f>'Expenditures 15-22'!F44</f>
        <v>1874</v>
      </c>
      <c r="D902" s="2" t="str">
        <f t="shared" si="13"/>
        <v>Error?</v>
      </c>
    </row>
    <row r="903" spans="1:4" x14ac:dyDescent="0.2">
      <c r="A903" s="5">
        <v>842</v>
      </c>
      <c r="B903" s="138">
        <f>'Expenditures 15-22'!F45</f>
        <v>10001</v>
      </c>
      <c r="D903" s="2" t="str">
        <f t="shared" si="13"/>
        <v>Error?</v>
      </c>
    </row>
    <row r="904" spans="1:4" x14ac:dyDescent="0.2">
      <c r="A904" s="5">
        <v>843</v>
      </c>
      <c r="B904" s="138">
        <f>'Expenditures 15-22'!F46</f>
        <v>75</v>
      </c>
      <c r="D904" s="2" t="str">
        <f t="shared" si="13"/>
        <v>Error?</v>
      </c>
    </row>
    <row r="905" spans="1:4" x14ac:dyDescent="0.2">
      <c r="A905" s="5">
        <v>844</v>
      </c>
      <c r="B905" s="138">
        <f>'Expenditures 15-22'!F47</f>
        <v>11950</v>
      </c>
      <c r="C905" s="2" t="s">
        <v>573</v>
      </c>
      <c r="D905" s="2" t="str">
        <f t="shared" si="13"/>
        <v>Error?</v>
      </c>
    </row>
    <row r="906" spans="1:4" x14ac:dyDescent="0.2">
      <c r="A906" s="5">
        <v>845</v>
      </c>
      <c r="B906" s="138">
        <f>'Expenditures 15-22'!F49</f>
        <v>1641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4924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2979</v>
      </c>
      <c r="D913" s="2" t="str">
        <f t="shared" si="13"/>
        <v>Error?</v>
      </c>
    </row>
    <row r="914" spans="1:4" x14ac:dyDescent="0.2">
      <c r="A914" s="5">
        <v>853</v>
      </c>
      <c r="B914" s="138">
        <f>'Expenditures 15-22'!F61</f>
        <v>20278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90994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114251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201</v>
      </c>
      <c r="D928" s="2" t="str">
        <f t="shared" si="13"/>
        <v>Error?</v>
      </c>
    </row>
    <row r="929" spans="1:4" x14ac:dyDescent="0.2">
      <c r="A929" s="5">
        <v>868</v>
      </c>
      <c r="B929" s="138">
        <f>'Expenditures 15-22'!F74</f>
        <v>139546</v>
      </c>
      <c r="C929" s="2" t="s">
        <v>573</v>
      </c>
      <c r="D929" s="2" t="str">
        <f t="shared" si="13"/>
        <v>Error?</v>
      </c>
    </row>
    <row r="930" spans="1:4" x14ac:dyDescent="0.2">
      <c r="A930" s="5">
        <v>869</v>
      </c>
      <c r="B930" s="138">
        <f>'Expenditures 15-22'!F75</f>
        <v>32184</v>
      </c>
      <c r="D930" s="2" t="str">
        <f t="shared" si="13"/>
        <v>Error?</v>
      </c>
    </row>
    <row r="931" spans="1:4" x14ac:dyDescent="0.2">
      <c r="A931" s="5">
        <v>870</v>
      </c>
      <c r="B931" s="138">
        <f>'Expenditures 15-22'!F114</f>
        <v>384209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41185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501</v>
      </c>
      <c r="D949" s="2" t="str">
        <f t="shared" si="13"/>
        <v>Error?</v>
      </c>
    </row>
    <row r="950" spans="1:4" x14ac:dyDescent="0.2">
      <c r="A950" s="5">
        <v>889</v>
      </c>
      <c r="B950" s="138">
        <f>'Expenditures 15-22'!G14</f>
        <v>4591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61869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773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773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34535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34535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35308</v>
      </c>
      <c r="C987" s="2" t="s">
        <v>573</v>
      </c>
      <c r="D987" s="2" t="str">
        <f t="shared" si="14"/>
        <v>Error?</v>
      </c>
    </row>
    <row r="988" spans="1:4" x14ac:dyDescent="0.2">
      <c r="A988" s="5">
        <v>927</v>
      </c>
      <c r="B988" s="138">
        <f>'Expenditures 15-22'!G75</f>
        <v>12391</v>
      </c>
      <c r="D988" s="2" t="str">
        <f t="shared" si="14"/>
        <v>Error?</v>
      </c>
    </row>
    <row r="989" spans="1:4" x14ac:dyDescent="0.2">
      <c r="A989" s="5">
        <v>928</v>
      </c>
      <c r="B989" s="138">
        <f>'Expenditures 15-22'!G114</f>
        <v>109568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315</v>
      </c>
      <c r="D1007" s="2" t="str">
        <f t="shared" si="14"/>
        <v>Error?</v>
      </c>
    </row>
    <row r="1008" spans="1:4" x14ac:dyDescent="0.2">
      <c r="A1008" s="5">
        <v>947</v>
      </c>
      <c r="B1008" s="138">
        <f>'Expenditures 15-22'!H14</f>
        <v>7695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149244</v>
      </c>
      <c r="C1010" s="2" t="s">
        <v>573</v>
      </c>
      <c r="D1010" s="2" t="str">
        <f t="shared" si="14"/>
        <v>Error?</v>
      </c>
    </row>
    <row r="1011" spans="1:4" x14ac:dyDescent="0.2">
      <c r="A1011" s="5">
        <v>950</v>
      </c>
      <c r="B1011" s="138">
        <f>'Expenditures 15-22'!H36</f>
        <v>75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5607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5607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5682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128450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283376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1908779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179800</v>
      </c>
      <c r="C1105" s="2" t="s">
        <v>573</v>
      </c>
      <c r="D1105" s="2" t="str">
        <f t="shared" si="16"/>
        <v>Error?</v>
      </c>
    </row>
    <row r="1106" spans="1:4" x14ac:dyDescent="0.2">
      <c r="A1106" s="5">
        <v>1045</v>
      </c>
      <c r="B1106" s="138">
        <f>'Expenditures 15-22'!K14</f>
        <v>122726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3146363</v>
      </c>
      <c r="C1108" s="2" t="s">
        <v>573</v>
      </c>
      <c r="D1108" s="2" t="str">
        <f t="shared" si="16"/>
        <v>Error?</v>
      </c>
    </row>
    <row r="1109" spans="1:4" x14ac:dyDescent="0.2">
      <c r="A1109" s="5">
        <v>1048</v>
      </c>
      <c r="B1109" s="138">
        <f>'Expenditures 15-22'!K36</f>
        <v>79735</v>
      </c>
      <c r="C1109" s="2" t="s">
        <v>573</v>
      </c>
      <c r="D1109" s="2" t="str">
        <f t="shared" si="16"/>
        <v>Error?</v>
      </c>
    </row>
    <row r="1110" spans="1:4" x14ac:dyDescent="0.2">
      <c r="A1110" s="5">
        <v>1049</v>
      </c>
      <c r="B1110" s="138">
        <f>'Expenditures 15-22'!K37</f>
        <v>49960</v>
      </c>
      <c r="C1110" s="2" t="s">
        <v>573</v>
      </c>
      <c r="D1110" s="2" t="str">
        <f t="shared" si="16"/>
        <v>Error?</v>
      </c>
    </row>
    <row r="1111" spans="1:4" x14ac:dyDescent="0.2">
      <c r="A1111" s="5">
        <v>1050</v>
      </c>
      <c r="B1111" s="138">
        <f>'Expenditures 15-22'!K38</f>
        <v>55299</v>
      </c>
      <c r="C1111" s="2" t="s">
        <v>573</v>
      </c>
      <c r="D1111" s="2" t="str">
        <f t="shared" si="16"/>
        <v>Error?</v>
      </c>
    </row>
    <row r="1112" spans="1:4" x14ac:dyDescent="0.2">
      <c r="A1112" s="5">
        <v>1051</v>
      </c>
      <c r="B1112" s="138">
        <f>'Expenditures 15-22'!K39</f>
        <v>25048</v>
      </c>
      <c r="C1112" s="2" t="s">
        <v>573</v>
      </c>
      <c r="D1112" s="2" t="str">
        <f t="shared" si="16"/>
        <v>Error?</v>
      </c>
    </row>
    <row r="1113" spans="1:4" x14ac:dyDescent="0.2">
      <c r="A1113" s="5">
        <v>1052</v>
      </c>
      <c r="B1113" s="138">
        <f>'Expenditures 15-22'!K40</f>
        <v>39758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249800</v>
      </c>
      <c r="C1115" s="2" t="s">
        <v>573</v>
      </c>
      <c r="D1115" s="2" t="str">
        <f t="shared" si="16"/>
        <v>Error?</v>
      </c>
    </row>
    <row r="1116" spans="1:4" x14ac:dyDescent="0.2">
      <c r="A1116" s="5">
        <v>1055</v>
      </c>
      <c r="B1116" s="138">
        <f>'Expenditures 15-22'!K44</f>
        <v>51670</v>
      </c>
      <c r="C1116" s="2" t="s">
        <v>573</v>
      </c>
      <c r="D1116" s="2" t="str">
        <f t="shared" si="16"/>
        <v>Error?</v>
      </c>
    </row>
    <row r="1117" spans="1:4" x14ac:dyDescent="0.2">
      <c r="A1117" s="5">
        <v>1056</v>
      </c>
      <c r="B1117" s="138">
        <f>'Expenditures 15-22'!K45</f>
        <v>21929</v>
      </c>
      <c r="C1117" s="2" t="s">
        <v>573</v>
      </c>
      <c r="D1117" s="2" t="str">
        <f t="shared" si="16"/>
        <v>Error?</v>
      </c>
    </row>
    <row r="1118" spans="1:4" x14ac:dyDescent="0.2">
      <c r="A1118" s="5">
        <v>1057</v>
      </c>
      <c r="B1118" s="138">
        <f>'Expenditures 15-22'!K46</f>
        <v>6563</v>
      </c>
      <c r="C1118" s="2" t="s">
        <v>573</v>
      </c>
      <c r="D1118" s="2" t="str">
        <f t="shared" si="16"/>
        <v>Error?</v>
      </c>
    </row>
    <row r="1119" spans="1:4" x14ac:dyDescent="0.2">
      <c r="A1119" s="5">
        <v>1058</v>
      </c>
      <c r="B1119" s="138">
        <f>'Expenditures 15-22'!K47</f>
        <v>80162</v>
      </c>
      <c r="C1119" s="2" t="s">
        <v>573</v>
      </c>
      <c r="D1119" s="2" t="str">
        <f t="shared" si="16"/>
        <v>Error?</v>
      </c>
    </row>
    <row r="1120" spans="1:4" x14ac:dyDescent="0.2">
      <c r="A1120" s="5">
        <v>1059</v>
      </c>
      <c r="B1120" s="138">
        <f>'Expenditures 15-22'!K49</f>
        <v>73974</v>
      </c>
      <c r="C1120" s="2" t="s">
        <v>573</v>
      </c>
      <c r="D1120" s="2" t="str">
        <f t="shared" si="16"/>
        <v>Error?</v>
      </c>
    </row>
    <row r="1121" spans="1:4" x14ac:dyDescent="0.2">
      <c r="A1121" s="5">
        <v>1060</v>
      </c>
      <c r="B1121" s="138">
        <f>'Expenditures 15-22'!K50</f>
        <v>156612</v>
      </c>
      <c r="C1121" s="2" t="s">
        <v>573</v>
      </c>
      <c r="D1121" s="2" t="str">
        <f t="shared" si="16"/>
        <v>Error?</v>
      </c>
    </row>
    <row r="1122" spans="1:4" x14ac:dyDescent="0.2">
      <c r="A1122" s="5">
        <v>1061</v>
      </c>
      <c r="B1122" s="138">
        <f>'Expenditures 15-22'!K53</f>
        <v>249658</v>
      </c>
      <c r="C1122" s="2" t="s">
        <v>573</v>
      </c>
      <c r="D1122" s="2" t="str">
        <f t="shared" si="16"/>
        <v>Error?</v>
      </c>
    </row>
    <row r="1123" spans="1:4" x14ac:dyDescent="0.2">
      <c r="A1123" s="5">
        <v>1062</v>
      </c>
      <c r="B1123" s="138">
        <f>'Expenditures 15-22'!K55</f>
        <v>287918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287918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151786</v>
      </c>
      <c r="C1127" s="2" t="s">
        <v>573</v>
      </c>
      <c r="D1127" s="2" t="str">
        <f t="shared" si="16"/>
        <v>Error?</v>
      </c>
    </row>
    <row r="1128" spans="1:4" x14ac:dyDescent="0.2">
      <c r="A1128" s="5">
        <v>1067</v>
      </c>
      <c r="B1128" s="138">
        <f>'Expenditures 15-22'!K61</f>
        <v>145651</v>
      </c>
      <c r="C1128" s="2" t="s">
        <v>573</v>
      </c>
      <c r="D1128" s="2" t="str">
        <f t="shared" si="16"/>
        <v>Error?</v>
      </c>
    </row>
    <row r="1129" spans="1:4" x14ac:dyDescent="0.2">
      <c r="A1129" s="5">
        <v>1068</v>
      </c>
      <c r="B1129" s="138">
        <f>'Expenditures 15-22'!K62</f>
        <v>24192</v>
      </c>
      <c r="C1129" s="2" t="s">
        <v>573</v>
      </c>
      <c r="D1129" s="2" t="str">
        <f t="shared" si="16"/>
        <v>Error?</v>
      </c>
    </row>
    <row r="1130" spans="1:4" x14ac:dyDescent="0.2">
      <c r="A1130" s="5">
        <v>1069</v>
      </c>
      <c r="B1130" s="138">
        <f>'Expenditures 15-22'!K63</f>
        <v>207662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529291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201</v>
      </c>
      <c r="C1142" s="2" t="s">
        <v>573</v>
      </c>
      <c r="D1142" s="2" t="str">
        <f t="shared" si="16"/>
        <v>Error?</v>
      </c>
    </row>
    <row r="1143" spans="1:4" x14ac:dyDescent="0.2">
      <c r="A1143" s="5">
        <v>1082</v>
      </c>
      <c r="B1143" s="138">
        <f>'Expenditures 15-22'!K74</f>
        <v>1397030</v>
      </c>
      <c r="C1143" s="2" t="s">
        <v>573</v>
      </c>
      <c r="D1143" s="2" t="str">
        <f t="shared" si="16"/>
        <v>Error?</v>
      </c>
    </row>
    <row r="1144" spans="1:4" x14ac:dyDescent="0.2">
      <c r="A1144" s="5">
        <v>1083</v>
      </c>
      <c r="B1144" s="138">
        <f>'Expenditures 15-22'!K75</f>
        <v>135493</v>
      </c>
      <c r="C1144" s="2" t="s">
        <v>573</v>
      </c>
      <c r="D1144" s="2" t="str">
        <f t="shared" si="16"/>
        <v>Error?</v>
      </c>
    </row>
    <row r="1145" spans="1:4" x14ac:dyDescent="0.2">
      <c r="A1145" s="5">
        <v>1084</v>
      </c>
      <c r="B1145" s="138">
        <f>'Expenditures 15-22'!K102</f>
        <v>131505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4810391</v>
      </c>
      <c r="C1152" s="2" t="s">
        <v>573</v>
      </c>
      <c r="D1152" s="2" t="str">
        <f t="shared" si="17"/>
        <v>Error?</v>
      </c>
    </row>
    <row r="1153" spans="1:4" x14ac:dyDescent="0.2">
      <c r="A1153" s="5">
        <v>1092</v>
      </c>
      <c r="B1153" s="138">
        <f>'Expenditures 15-22'!K115</f>
        <v>72212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117923</v>
      </c>
      <c r="D1221" s="2" t="str">
        <f t="shared" si="18"/>
        <v>Error?</v>
      </c>
    </row>
    <row r="1222" spans="1:4" x14ac:dyDescent="0.2">
      <c r="A1222" s="10">
        <v>1161</v>
      </c>
      <c r="D1222" s="2" t="str">
        <f t="shared" si="18"/>
        <v>OK</v>
      </c>
    </row>
    <row r="1223" spans="1:4" x14ac:dyDescent="0.2">
      <c r="A1223" s="5">
        <v>1162</v>
      </c>
      <c r="B1223" s="138">
        <f>'Expenditures 15-22'!C127</f>
        <v>117923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117923</v>
      </c>
      <c r="C1225" s="2" t="s">
        <v>573</v>
      </c>
      <c r="D1225" s="2" t="str">
        <f t="shared" si="18"/>
        <v>Error?</v>
      </c>
    </row>
    <row r="1226" spans="1:4" x14ac:dyDescent="0.2">
      <c r="A1226" s="5">
        <v>1165</v>
      </c>
      <c r="B1226" s="138">
        <f>'Expenditures 15-22'!C151</f>
        <v>117923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18958</v>
      </c>
      <c r="D1229" s="2" t="str">
        <f t="shared" si="18"/>
        <v>Error?</v>
      </c>
    </row>
    <row r="1230" spans="1:4" x14ac:dyDescent="0.2">
      <c r="A1230" s="10">
        <v>1169</v>
      </c>
      <c r="D1230" s="2" t="str">
        <f t="shared" si="18"/>
        <v>OK</v>
      </c>
    </row>
    <row r="1231" spans="1:4" x14ac:dyDescent="0.2">
      <c r="A1231" s="5">
        <v>1170</v>
      </c>
      <c r="B1231" s="138">
        <f>'Expenditures 15-22'!D127</f>
        <v>18958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18958</v>
      </c>
      <c r="C1233" s="2" t="s">
        <v>573</v>
      </c>
      <c r="D1233" s="2" t="str">
        <f t="shared" si="18"/>
        <v>Error?</v>
      </c>
    </row>
    <row r="1234" spans="1:4" x14ac:dyDescent="0.2">
      <c r="A1234" s="5">
        <v>1173</v>
      </c>
      <c r="B1234" s="138">
        <f>'Expenditures 15-22'!D151</f>
        <v>18958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115820</v>
      </c>
      <c r="D1237" s="2" t="str">
        <f t="shared" si="18"/>
        <v>Error?</v>
      </c>
    </row>
    <row r="1238" spans="1:4" x14ac:dyDescent="0.2">
      <c r="A1238" s="10">
        <v>1177</v>
      </c>
      <c r="D1238" s="2" t="str">
        <f t="shared" si="18"/>
        <v>OK</v>
      </c>
    </row>
    <row r="1239" spans="1:4" x14ac:dyDescent="0.2">
      <c r="A1239" s="5">
        <v>1178</v>
      </c>
      <c r="B1239" s="138">
        <f>'Expenditures 15-22'!E127</f>
        <v>115820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115820</v>
      </c>
      <c r="C1241" s="2" t="s">
        <v>573</v>
      </c>
      <c r="D1241" s="2" t="str">
        <f t="shared" si="18"/>
        <v>Error?</v>
      </c>
    </row>
    <row r="1242" spans="1:4" x14ac:dyDescent="0.2">
      <c r="A1242" s="5">
        <v>1181</v>
      </c>
      <c r="B1242" s="138">
        <f>'Expenditures 15-22'!E151</f>
        <v>115820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148402</v>
      </c>
      <c r="D1245" s="2" t="str">
        <f t="shared" si="18"/>
        <v>Error?</v>
      </c>
    </row>
    <row r="1246" spans="1:4" x14ac:dyDescent="0.2">
      <c r="A1246" s="10">
        <v>1185</v>
      </c>
      <c r="D1246" s="2" t="str">
        <f t="shared" si="18"/>
        <v>OK</v>
      </c>
    </row>
    <row r="1247" spans="1:4" x14ac:dyDescent="0.2">
      <c r="A1247" s="5">
        <v>1186</v>
      </c>
      <c r="B1247" s="138">
        <f>'Expenditures 15-22'!F127</f>
        <v>148402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148402</v>
      </c>
      <c r="C1249" s="2" t="s">
        <v>573</v>
      </c>
      <c r="D1249" s="2" t="str">
        <f t="shared" si="18"/>
        <v>Error?</v>
      </c>
    </row>
    <row r="1250" spans="1:4" x14ac:dyDescent="0.2">
      <c r="A1250" s="5">
        <v>1189</v>
      </c>
      <c r="B1250" s="138">
        <f>'Expenditures 15-22'!F151</f>
        <v>148402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5081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5081</v>
      </c>
      <c r="C1258" s="2" t="s">
        <v>573</v>
      </c>
      <c r="D1258" s="2" t="str">
        <f t="shared" si="18"/>
        <v>Error?</v>
      </c>
    </row>
    <row r="1259" spans="1:4" x14ac:dyDescent="0.2">
      <c r="A1259" s="5">
        <v>1198</v>
      </c>
      <c r="B1259" s="138">
        <f>'Expenditures 15-22'!G151</f>
        <v>5081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406184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406184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406184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406184</v>
      </c>
      <c r="C1288" s="2" t="s">
        <v>573</v>
      </c>
      <c r="D1288" s="2" t="str">
        <f t="shared" si="19"/>
        <v>Error?</v>
      </c>
    </row>
    <row r="1289" spans="1:4" x14ac:dyDescent="0.2">
      <c r="A1289" s="5">
        <v>1228</v>
      </c>
      <c r="B1289" s="138">
        <f>'Expenditures 15-22'!K152</f>
        <v>464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34438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185000</v>
      </c>
      <c r="D1315" s="2" t="str">
        <f t="shared" si="19"/>
        <v>Error?</v>
      </c>
    </row>
    <row r="1316" spans="1:4" x14ac:dyDescent="0.2">
      <c r="A1316" s="5">
        <v>1255</v>
      </c>
      <c r="B1316" s="138">
        <f>'Expenditures 15-22'!H171</f>
        <v>636</v>
      </c>
      <c r="D1316" s="2" t="str">
        <f t="shared" si="19"/>
        <v>Error?</v>
      </c>
    </row>
    <row r="1317" spans="1:4" x14ac:dyDescent="0.2">
      <c r="A1317" s="5">
        <v>1256</v>
      </c>
      <c r="B1317" s="138">
        <f>'Expenditures 15-22'!H172</f>
        <v>220074</v>
      </c>
      <c r="C1317" s="2" t="s">
        <v>573</v>
      </c>
      <c r="D1317" s="2" t="str">
        <f t="shared" si="19"/>
        <v>Error?</v>
      </c>
    </row>
    <row r="1318" spans="1:4" x14ac:dyDescent="0.2">
      <c r="A1318" s="5">
        <v>1257</v>
      </c>
      <c r="B1318" s="138">
        <f>'Expenditures 15-22'!H174</f>
        <v>220074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34438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185000</v>
      </c>
      <c r="C1329" s="2" t="s">
        <v>573</v>
      </c>
      <c r="D1329" s="2" t="str">
        <f t="shared" si="19"/>
        <v>Error?</v>
      </c>
    </row>
    <row r="1330" spans="1:4" x14ac:dyDescent="0.2">
      <c r="A1330" s="5">
        <v>1269</v>
      </c>
      <c r="B1330" s="138">
        <f>'Expenditures 15-22'!K171</f>
        <v>636</v>
      </c>
      <c r="C1330" s="2" t="s">
        <v>573</v>
      </c>
      <c r="D1330" s="2" t="str">
        <f t="shared" si="19"/>
        <v>Error?</v>
      </c>
    </row>
    <row r="1331" spans="1:4" x14ac:dyDescent="0.2">
      <c r="A1331" s="5">
        <v>1270</v>
      </c>
      <c r="B1331" s="138">
        <f>'Expenditures 15-22'!K172</f>
        <v>220074</v>
      </c>
      <c r="C1331" s="2" t="s">
        <v>573</v>
      </c>
      <c r="D1331" s="2" t="str">
        <f t="shared" si="19"/>
        <v>Error?</v>
      </c>
    </row>
    <row r="1332" spans="1:4" x14ac:dyDescent="0.2">
      <c r="A1332" s="5">
        <v>1271</v>
      </c>
      <c r="B1332" s="138">
        <f>'Expenditures 15-22'!K174</f>
        <v>220074</v>
      </c>
      <c r="C1332" s="2" t="s">
        <v>573</v>
      </c>
      <c r="D1332" s="2" t="str">
        <f t="shared" si="19"/>
        <v>Error?</v>
      </c>
    </row>
    <row r="1333" spans="1:4" x14ac:dyDescent="0.2">
      <c r="A1333" s="5">
        <v>1272</v>
      </c>
      <c r="B1333" s="138">
        <f>'Expenditures 15-22'!K175</f>
        <v>-54557</v>
      </c>
      <c r="C1333" s="2" t="s">
        <v>573</v>
      </c>
      <c r="D1333" s="2" t="str">
        <f t="shared" si="19"/>
        <v>Error?</v>
      </c>
    </row>
    <row r="1334" spans="1:4" x14ac:dyDescent="0.2">
      <c r="A1334" s="10">
        <v>1273</v>
      </c>
      <c r="D1334" s="2" t="str">
        <f t="shared" si="19"/>
        <v>OK</v>
      </c>
    </row>
    <row r="1335" spans="1:4" x14ac:dyDescent="0.2">
      <c r="A1335" s="5">
        <v>1274</v>
      </c>
      <c r="B1335" s="138">
        <f>'Expenditures 15-22'!C182</f>
        <v>186078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186078</v>
      </c>
      <c r="C1339" s="2" t="s">
        <v>573</v>
      </c>
      <c r="D1339" s="2" t="str">
        <f t="shared" si="19"/>
        <v>Error?</v>
      </c>
    </row>
    <row r="1340" spans="1:4" x14ac:dyDescent="0.2">
      <c r="A1340" s="5">
        <v>1279</v>
      </c>
      <c r="B1340" s="138">
        <f>'Expenditures 15-22'!C210</f>
        <v>186078</v>
      </c>
      <c r="C1340" s="2" t="s">
        <v>573</v>
      </c>
      <c r="D1340" s="2" t="str">
        <f t="shared" si="19"/>
        <v>Error?</v>
      </c>
    </row>
    <row r="1341" spans="1:4" x14ac:dyDescent="0.2">
      <c r="A1341" s="5">
        <v>1280</v>
      </c>
      <c r="B1341" s="138">
        <f>'Expenditures 15-22'!D182</f>
        <v>27697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27697</v>
      </c>
      <c r="C1345" s="2" t="s">
        <v>573</v>
      </c>
      <c r="D1345" s="2" t="str">
        <f t="shared" si="20"/>
        <v>Error?</v>
      </c>
    </row>
    <row r="1346" spans="1:4" x14ac:dyDescent="0.2">
      <c r="A1346" s="5">
        <v>1285</v>
      </c>
      <c r="B1346" s="138">
        <f>'Expenditures 15-22'!D210</f>
        <v>27697</v>
      </c>
      <c r="C1346" s="2" t="s">
        <v>573</v>
      </c>
      <c r="D1346" s="2" t="str">
        <f t="shared" si="20"/>
        <v>Error?</v>
      </c>
    </row>
    <row r="1347" spans="1:4" x14ac:dyDescent="0.2">
      <c r="A1347" s="5">
        <v>1286</v>
      </c>
      <c r="B1347" s="138">
        <f>'Expenditures 15-22'!E182</f>
        <v>16869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16869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16869</v>
      </c>
      <c r="C1353" s="2" t="s">
        <v>573</v>
      </c>
      <c r="D1353" s="2" t="str">
        <f t="shared" si="20"/>
        <v>Error?</v>
      </c>
    </row>
    <row r="1354" spans="1:4" x14ac:dyDescent="0.2">
      <c r="A1354" s="5">
        <v>1293</v>
      </c>
      <c r="B1354" s="138">
        <f>'Expenditures 15-22'!F182</f>
        <v>50797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50797</v>
      </c>
      <c r="C1358" s="2" t="s">
        <v>573</v>
      </c>
      <c r="D1358" s="2" t="str">
        <f t="shared" si="20"/>
        <v>Error?</v>
      </c>
    </row>
    <row r="1359" spans="1:4" x14ac:dyDescent="0.2">
      <c r="A1359" s="5">
        <v>1298</v>
      </c>
      <c r="B1359" s="138">
        <f>'Expenditures 15-22'!F210</f>
        <v>50797</v>
      </c>
      <c r="C1359" s="2" t="s">
        <v>573</v>
      </c>
      <c r="D1359" s="2" t="str">
        <f t="shared" si="20"/>
        <v>Error?</v>
      </c>
    </row>
    <row r="1360" spans="1:4" x14ac:dyDescent="0.2">
      <c r="A1360" s="5">
        <v>1299</v>
      </c>
      <c r="B1360" s="138">
        <f>'Expenditures 15-22'!G182</f>
        <v>66014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66014</v>
      </c>
      <c r="C1364" s="2" t="s">
        <v>573</v>
      </c>
      <c r="D1364" s="2" t="str">
        <f t="shared" si="20"/>
        <v>Error?</v>
      </c>
    </row>
    <row r="1365" spans="1:4" x14ac:dyDescent="0.2">
      <c r="A1365" s="5">
        <v>1304</v>
      </c>
      <c r="B1365" s="138">
        <f>'Expenditures 15-22'!G210</f>
        <v>66014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347455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347455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347455</v>
      </c>
      <c r="C1388" s="2" t="s">
        <v>573</v>
      </c>
      <c r="D1388" s="2" t="str">
        <f t="shared" si="20"/>
        <v>Error?</v>
      </c>
    </row>
    <row r="1389" spans="1:4" x14ac:dyDescent="0.2">
      <c r="A1389" s="5">
        <v>1328</v>
      </c>
      <c r="B1389" s="138">
        <f>'Expenditures 15-22'!K211</f>
        <v>927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1964</v>
      </c>
      <c r="D1407" s="2" t="str">
        <f t="shared" ref="D1407:D1470" si="21">IF(ISBLANK(B1407),"OK",IF(A1407-B1407=0,"OK","Error?"))</f>
        <v>Error?</v>
      </c>
    </row>
    <row r="1408" spans="1:4" x14ac:dyDescent="0.2">
      <c r="A1408" s="5">
        <v>1347</v>
      </c>
      <c r="B1408" s="138">
        <f>'Expenditures 15-22'!D223</f>
        <v>1897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56939</v>
      </c>
      <c r="C1410" s="2" t="s">
        <v>573</v>
      </c>
      <c r="D1410" s="2" t="str">
        <f t="shared" si="21"/>
        <v>Error?</v>
      </c>
    </row>
    <row r="1411" spans="1:4" x14ac:dyDescent="0.2">
      <c r="A1411" s="5">
        <v>1350</v>
      </c>
      <c r="B1411" s="138">
        <f>'Expenditures 15-22'!D232</f>
        <v>906</v>
      </c>
      <c r="D1411" s="2" t="str">
        <f t="shared" si="21"/>
        <v>Error?</v>
      </c>
    </row>
    <row r="1412" spans="1:4" x14ac:dyDescent="0.2">
      <c r="A1412" s="5">
        <v>1351</v>
      </c>
      <c r="B1412" s="138">
        <f>'Expenditures 15-22'!D233</f>
        <v>571</v>
      </c>
      <c r="D1412" s="2" t="str">
        <f t="shared" si="21"/>
        <v>Error?</v>
      </c>
    </row>
    <row r="1413" spans="1:4" x14ac:dyDescent="0.2">
      <c r="A1413" s="5">
        <v>1352</v>
      </c>
      <c r="B1413" s="138">
        <f>'Expenditures 15-22'!D234</f>
        <v>8224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9701</v>
      </c>
      <c r="C1417" s="2" t="s">
        <v>573</v>
      </c>
      <c r="D1417" s="2" t="str">
        <f t="shared" si="21"/>
        <v>Error?</v>
      </c>
    </row>
    <row r="1418" spans="1:4" x14ac:dyDescent="0.2">
      <c r="A1418" s="5">
        <v>1357</v>
      </c>
      <c r="B1418" s="138">
        <f>'Expenditures 15-22'!D240</f>
        <v>9</v>
      </c>
      <c r="D1418" s="2" t="str">
        <f t="shared" si="21"/>
        <v>Error?</v>
      </c>
    </row>
    <row r="1419" spans="1:4" x14ac:dyDescent="0.2">
      <c r="A1419" s="5">
        <v>1358</v>
      </c>
      <c r="B1419" s="138">
        <f>'Expenditures 15-22'!D241</f>
        <v>934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943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2172</v>
      </c>
      <c r="D1423" s="2" t="str">
        <f t="shared" si="21"/>
        <v>Error?</v>
      </c>
    </row>
    <row r="1424" spans="1:4" x14ac:dyDescent="0.2">
      <c r="A1424" s="5">
        <v>1363</v>
      </c>
      <c r="B1424" s="138">
        <f>'Expenditures 15-22'!D257</f>
        <v>3614</v>
      </c>
      <c r="C1424" s="2" t="s">
        <v>573</v>
      </c>
      <c r="D1424" s="2" t="str">
        <f t="shared" si="21"/>
        <v>Error?</v>
      </c>
    </row>
    <row r="1425" spans="1:4" x14ac:dyDescent="0.2">
      <c r="A1425" s="5">
        <v>1364</v>
      </c>
      <c r="B1425" s="138">
        <f>'Expenditures 15-22'!D259</f>
        <v>13329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13329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20781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32564</v>
      </c>
      <c r="D1431" s="2" t="str">
        <f t="shared" si="21"/>
        <v>Error?</v>
      </c>
    </row>
    <row r="1432" spans="1:4" x14ac:dyDescent="0.2">
      <c r="A1432" s="5">
        <v>1371</v>
      </c>
      <c r="B1432" s="138">
        <f>'Expenditures 15-22'!D267</f>
        <v>33895</v>
      </c>
      <c r="D1432" s="2" t="str">
        <f t="shared" si="21"/>
        <v>Error?</v>
      </c>
    </row>
    <row r="1433" spans="1:4" x14ac:dyDescent="0.2">
      <c r="A1433" s="5">
        <v>1372</v>
      </c>
      <c r="B1433" s="138">
        <f>'Expenditures 15-22'!D268</f>
        <v>12073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99313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126900</v>
      </c>
      <c r="C1446" s="2" t="s">
        <v>573</v>
      </c>
      <c r="D1446" s="2" t="str">
        <f t="shared" si="21"/>
        <v>Error?</v>
      </c>
    </row>
    <row r="1447" spans="1:4" x14ac:dyDescent="0.2">
      <c r="A1447" s="5">
        <v>1386</v>
      </c>
      <c r="B1447" s="138">
        <f>'Expenditures 15-22'!D280</f>
        <v>10160</v>
      </c>
      <c r="D1447" s="2" t="str">
        <f t="shared" si="21"/>
        <v>Error?</v>
      </c>
    </row>
    <row r="1448" spans="1:4" x14ac:dyDescent="0.2">
      <c r="A1448" s="5">
        <v>1387</v>
      </c>
      <c r="B1448" s="138">
        <f>'Expenditures 15-22'!D295</f>
        <v>193999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1964</v>
      </c>
      <c r="C1471" s="2" t="s">
        <v>573</v>
      </c>
      <c r="D1471" s="2" t="str">
        <f t="shared" ref="D1471:D1534" si="22">IF(ISBLANK(B1471),"OK",IF(A1471-B1471=0,"OK","Error?"))</f>
        <v>Error?</v>
      </c>
    </row>
    <row r="1472" spans="1:4" x14ac:dyDescent="0.2">
      <c r="A1472" s="5">
        <v>1411</v>
      </c>
      <c r="B1472" s="138">
        <f>'Expenditures 15-22'!K223</f>
        <v>1897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56939</v>
      </c>
      <c r="C1474" s="2" t="s">
        <v>573</v>
      </c>
      <c r="D1474" s="2" t="str">
        <f t="shared" si="22"/>
        <v>Error?</v>
      </c>
    </row>
    <row r="1475" spans="1:4" x14ac:dyDescent="0.2">
      <c r="A1475" s="5">
        <v>1414</v>
      </c>
      <c r="B1475" s="138">
        <f>'Expenditures 15-22'!K232</f>
        <v>906</v>
      </c>
      <c r="C1475" s="2" t="s">
        <v>573</v>
      </c>
      <c r="D1475" s="2" t="str">
        <f t="shared" si="22"/>
        <v>Error?</v>
      </c>
    </row>
    <row r="1476" spans="1:4" x14ac:dyDescent="0.2">
      <c r="A1476" s="5">
        <v>1415</v>
      </c>
      <c r="B1476" s="138">
        <f>'Expenditures 15-22'!K233</f>
        <v>571</v>
      </c>
      <c r="C1476" s="2" t="s">
        <v>573</v>
      </c>
      <c r="D1476" s="2" t="str">
        <f t="shared" si="22"/>
        <v>Error?</v>
      </c>
    </row>
    <row r="1477" spans="1:4" x14ac:dyDescent="0.2">
      <c r="A1477" s="5">
        <v>1416</v>
      </c>
      <c r="B1477" s="138">
        <f>'Expenditures 15-22'!K234</f>
        <v>8224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9701</v>
      </c>
      <c r="C1481" s="2" t="s">
        <v>573</v>
      </c>
      <c r="D1481" s="2" t="str">
        <f t="shared" si="22"/>
        <v>Error?</v>
      </c>
    </row>
    <row r="1482" spans="1:4" x14ac:dyDescent="0.2">
      <c r="A1482" s="5">
        <v>1421</v>
      </c>
      <c r="B1482" s="138">
        <f>'Expenditures 15-22'!K240</f>
        <v>9</v>
      </c>
      <c r="C1482" s="2" t="s">
        <v>573</v>
      </c>
      <c r="D1482" s="2" t="str">
        <f t="shared" si="22"/>
        <v>Error?</v>
      </c>
    </row>
    <row r="1483" spans="1:4" x14ac:dyDescent="0.2">
      <c r="A1483" s="5">
        <v>1422</v>
      </c>
      <c r="B1483" s="138">
        <f>'Expenditures 15-22'!K241</f>
        <v>934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943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2172</v>
      </c>
      <c r="C1487" s="2" t="s">
        <v>573</v>
      </c>
      <c r="D1487" s="2" t="str">
        <f t="shared" si="22"/>
        <v>Error?</v>
      </c>
    </row>
    <row r="1488" spans="1:4" x14ac:dyDescent="0.2">
      <c r="A1488" s="5">
        <v>1427</v>
      </c>
      <c r="B1488" s="138">
        <f>'Expenditures 15-22'!K257</f>
        <v>3614</v>
      </c>
      <c r="C1488" s="2" t="s">
        <v>573</v>
      </c>
      <c r="D1488" s="2" t="str">
        <f t="shared" si="22"/>
        <v>Error?</v>
      </c>
    </row>
    <row r="1489" spans="1:4" x14ac:dyDescent="0.2">
      <c r="A1489" s="5">
        <v>1428</v>
      </c>
      <c r="B1489" s="138">
        <f>'Expenditures 15-22'!K259</f>
        <v>13329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13329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20781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32564</v>
      </c>
      <c r="C1495" s="2" t="s">
        <v>573</v>
      </c>
      <c r="D1495" s="2" t="str">
        <f t="shared" si="22"/>
        <v>Error?</v>
      </c>
    </row>
    <row r="1496" spans="1:4" x14ac:dyDescent="0.2">
      <c r="A1496" s="5">
        <v>1435</v>
      </c>
      <c r="B1496" s="138">
        <f>'Expenditures 15-22'!K267</f>
        <v>33895</v>
      </c>
      <c r="C1496" s="2" t="s">
        <v>573</v>
      </c>
      <c r="D1496" s="2" t="str">
        <f t="shared" si="22"/>
        <v>Error?</v>
      </c>
    </row>
    <row r="1497" spans="1:4" x14ac:dyDescent="0.2">
      <c r="A1497" s="5">
        <v>1436</v>
      </c>
      <c r="B1497" s="138">
        <f>'Expenditures 15-22'!K268</f>
        <v>12073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99313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126900</v>
      </c>
      <c r="C1510" s="2" t="s">
        <v>573</v>
      </c>
      <c r="D1510" s="2" t="str">
        <f t="shared" si="22"/>
        <v>Error?</v>
      </c>
    </row>
    <row r="1511" spans="1:4" x14ac:dyDescent="0.2">
      <c r="A1511" s="5">
        <v>1450</v>
      </c>
      <c r="B1511" s="138">
        <f>'Expenditures 15-22'!K280</f>
        <v>10160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193999</v>
      </c>
      <c r="C1517" s="2" t="s">
        <v>573</v>
      </c>
      <c r="D1517" s="2" t="str">
        <f t="shared" si="22"/>
        <v>Error?</v>
      </c>
    </row>
    <row r="1518" spans="1:4" x14ac:dyDescent="0.2">
      <c r="A1518" s="5">
        <v>1457</v>
      </c>
      <c r="B1518" s="138">
        <f>'Expenditures 15-22'!K296</f>
        <v>22175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25757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25757</v>
      </c>
      <c r="C1535" s="2" t="s">
        <v>573</v>
      </c>
      <c r="D1535" s="2" t="str">
        <f t="shared" ref="D1535:D1598" si="23">IF(ISBLANK(B1535),"OK",IF(A1535-B1535=0,"OK","Error?"))</f>
        <v>Error?</v>
      </c>
    </row>
    <row r="1536" spans="1:4" x14ac:dyDescent="0.2">
      <c r="A1536" s="5">
        <v>1475</v>
      </c>
      <c r="B1536" s="138">
        <f>'Expenditures 15-22'!E312</f>
        <v>25757</v>
      </c>
      <c r="C1536" s="2" t="s">
        <v>573</v>
      </c>
      <c r="D1536" s="2" t="str">
        <f t="shared" si="23"/>
        <v>Error?</v>
      </c>
    </row>
    <row r="1537" spans="1:4" x14ac:dyDescent="0.2">
      <c r="A1537" s="5">
        <v>1476</v>
      </c>
      <c r="B1537" s="138">
        <f>'Expenditures 15-22'!F301</f>
        <v>1867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1867</v>
      </c>
      <c r="C1541" s="2" t="s">
        <v>573</v>
      </c>
      <c r="D1541" s="2" t="str">
        <f t="shared" si="23"/>
        <v>Error?</v>
      </c>
    </row>
    <row r="1542" spans="1:4" x14ac:dyDescent="0.2">
      <c r="A1542" s="5">
        <v>1481</v>
      </c>
      <c r="B1542" s="138">
        <f>'Expenditures 15-22'!F312</f>
        <v>1867</v>
      </c>
      <c r="C1542" s="2" t="s">
        <v>573</v>
      </c>
      <c r="D1542" s="2" t="str">
        <f t="shared" si="23"/>
        <v>Error?</v>
      </c>
    </row>
    <row r="1543" spans="1:4" x14ac:dyDescent="0.2">
      <c r="A1543" s="5">
        <v>1482</v>
      </c>
      <c r="B1543" s="138">
        <f>'Expenditures 15-22'!G301</f>
        <v>209726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209726</v>
      </c>
      <c r="C1547" s="2" t="s">
        <v>573</v>
      </c>
      <c r="D1547" s="2" t="str">
        <f t="shared" si="23"/>
        <v>Error?</v>
      </c>
    </row>
    <row r="1548" spans="1:4" x14ac:dyDescent="0.2">
      <c r="A1548" s="5">
        <v>1487</v>
      </c>
      <c r="B1548" s="138">
        <f>'Expenditures 15-22'!G312</f>
        <v>209726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237350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237350</v>
      </c>
      <c r="C1559" s="2" t="s">
        <v>573</v>
      </c>
      <c r="D1559" s="2" t="str">
        <f t="shared" si="23"/>
        <v>Error?</v>
      </c>
    </row>
    <row r="1560" spans="1:4" x14ac:dyDescent="0.2">
      <c r="A1560" s="5">
        <v>1499</v>
      </c>
      <c r="B1560" s="138">
        <f>'Expenditures 15-22'!K312</f>
        <v>237350</v>
      </c>
      <c r="C1560" s="2" t="s">
        <v>573</v>
      </c>
      <c r="D1560" s="2" t="str">
        <f t="shared" si="23"/>
        <v>Error?</v>
      </c>
    </row>
    <row r="1561" spans="1:4" x14ac:dyDescent="0.2">
      <c r="A1561" s="5">
        <v>1500</v>
      </c>
      <c r="B1561" s="138">
        <f>'Expenditures 15-22'!K313</f>
        <v>-49722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1168743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1240955</v>
      </c>
      <c r="C1630" s="2" t="s">
        <v>573</v>
      </c>
      <c r="D1630" s="2" t="str">
        <f t="shared" si="24"/>
        <v>Error?</v>
      </c>
    </row>
    <row r="1631" spans="1:4" x14ac:dyDescent="0.2">
      <c r="A1631" s="5">
        <v>1570</v>
      </c>
      <c r="B1631" s="138">
        <f>'Acct Summary 7-8'!D79</f>
        <v>248930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249394</v>
      </c>
      <c r="C1644" s="2" t="s">
        <v>573</v>
      </c>
      <c r="D1644" s="2" t="str">
        <f t="shared" si="24"/>
        <v>Error?</v>
      </c>
    </row>
    <row r="1645" spans="1:4" x14ac:dyDescent="0.2">
      <c r="A1645" s="5">
        <v>1584</v>
      </c>
      <c r="B1645" s="138">
        <f>'Acct Summary 7-8'!E79</f>
        <v>28875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108784</v>
      </c>
      <c r="C1658" s="2" t="s">
        <v>573</v>
      </c>
      <c r="D1658" s="2" t="str">
        <f t="shared" si="24"/>
        <v>Error?</v>
      </c>
    </row>
    <row r="1659" spans="1:4" x14ac:dyDescent="0.2">
      <c r="A1659" s="5">
        <v>1598</v>
      </c>
      <c r="B1659" s="138">
        <f>'Acct Summary 7-8'!F79</f>
        <v>380029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380956</v>
      </c>
      <c r="C1672" s="2" t="s">
        <v>573</v>
      </c>
      <c r="D1672" s="2" t="str">
        <f t="shared" si="25"/>
        <v>Error?</v>
      </c>
    </row>
    <row r="1673" spans="1:4" x14ac:dyDescent="0.2">
      <c r="A1673" s="5">
        <v>1612</v>
      </c>
      <c r="B1673" s="138">
        <f>'Acct Summary 7-8'!G79</f>
        <v>10894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33069</v>
      </c>
      <c r="C1686" s="2" t="s">
        <v>573</v>
      </c>
      <c r="D1686" s="2" t="str">
        <f t="shared" si="25"/>
        <v>Error?</v>
      </c>
    </row>
    <row r="1687" spans="1:4" x14ac:dyDescent="0.2">
      <c r="A1687" s="5">
        <v>1626</v>
      </c>
      <c r="B1687" s="138">
        <f>'Acct Summary 7-8'!H79</f>
        <v>309659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1728165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1437010</v>
      </c>
      <c r="C1744" s="2" t="s">
        <v>573</v>
      </c>
      <c r="D1744" s="2" t="str">
        <f t="shared" si="26"/>
        <v>Error?</v>
      </c>
    </row>
    <row r="1745" spans="1:5" x14ac:dyDescent="0.2">
      <c r="A1745" s="5">
        <v>1684</v>
      </c>
      <c r="B1745" s="138">
        <f>'Tax Sched 23'!B5</f>
        <v>296801</v>
      </c>
      <c r="C1745" s="2" t="s">
        <v>573</v>
      </c>
      <c r="D1745" s="2" t="str">
        <f t="shared" si="26"/>
        <v>Error?</v>
      </c>
    </row>
    <row r="1746" spans="1:5" x14ac:dyDescent="0.2">
      <c r="A1746" s="5">
        <v>1685</v>
      </c>
      <c r="B1746" s="138">
        <f>'Tax Sched 23'!B6</f>
        <v>165501</v>
      </c>
      <c r="C1746" s="2" t="s">
        <v>573</v>
      </c>
      <c r="D1746" s="2" t="str">
        <f t="shared" si="26"/>
        <v>Error?</v>
      </c>
    </row>
    <row r="1747" spans="1:5" x14ac:dyDescent="0.2">
      <c r="A1747" s="5">
        <v>1686</v>
      </c>
      <c r="B1747" s="138">
        <f>'Tax Sched 23'!B7</f>
        <v>125942</v>
      </c>
      <c r="C1747" s="2" t="s">
        <v>573</v>
      </c>
      <c r="D1747" s="2" t="str">
        <f t="shared" si="26"/>
        <v>Error?</v>
      </c>
    </row>
    <row r="1748" spans="1:5" x14ac:dyDescent="0.2">
      <c r="A1748" s="5">
        <v>1687</v>
      </c>
      <c r="B1748" s="138">
        <f>'Tax Sched 23'!B8</f>
        <v>78711</v>
      </c>
      <c r="C1748" s="2" t="s">
        <v>573</v>
      </c>
      <c r="D1748" s="2" t="str">
        <f t="shared" si="26"/>
        <v>Error?</v>
      </c>
    </row>
    <row r="1749" spans="1:5" x14ac:dyDescent="0.2">
      <c r="A1749" s="5">
        <v>1688</v>
      </c>
      <c r="B1749" s="138">
        <f>'Tax Sched 23'!B10</f>
        <v>12764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37394</v>
      </c>
      <c r="C1752" s="2" t="s">
        <v>573</v>
      </c>
      <c r="D1752" s="2" t="str">
        <f t="shared" si="26"/>
        <v>Error?</v>
      </c>
    </row>
    <row r="1753" spans="1:5" x14ac:dyDescent="0.2">
      <c r="A1753" s="5">
        <v>1692</v>
      </c>
      <c r="B1753" s="138">
        <f>'Tax Sched 23'!B12</f>
        <v>12764</v>
      </c>
      <c r="C1753" s="2" t="s">
        <v>573</v>
      </c>
      <c r="D1753" s="2" t="str">
        <f t="shared" si="26"/>
        <v>Error?</v>
      </c>
    </row>
    <row r="1754" spans="1:5" x14ac:dyDescent="0.2">
      <c r="A1754" s="5">
        <v>1693</v>
      </c>
      <c r="B1754" s="138">
        <f>'Tax Sched 23'!B14</f>
        <v>12764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2264611</v>
      </c>
      <c r="C1759" s="2" t="s">
        <v>573</v>
      </c>
      <c r="D1759" s="2" t="str">
        <f t="shared" si="26"/>
        <v>Error?</v>
      </c>
    </row>
    <row r="1760" spans="1:5" x14ac:dyDescent="0.2">
      <c r="A1760" s="5">
        <v>1699</v>
      </c>
      <c r="B1760" s="138">
        <f>'Tax Sched 23'!D4</f>
        <v>1437010</v>
      </c>
      <c r="C1760" s="2" t="s">
        <v>573</v>
      </c>
      <c r="D1760" s="2" t="str">
        <f t="shared" si="26"/>
        <v>Error?</v>
      </c>
    </row>
    <row r="1761" spans="1:5" x14ac:dyDescent="0.2">
      <c r="A1761" s="5">
        <v>1700</v>
      </c>
      <c r="B1761" s="138">
        <f>'Tax Sched 23'!D5</f>
        <v>296801</v>
      </c>
      <c r="C1761" s="2" t="s">
        <v>573</v>
      </c>
      <c r="D1761" s="2" t="str">
        <f t="shared" si="26"/>
        <v>Error?</v>
      </c>
    </row>
    <row r="1762" spans="1:5" s="8" customFormat="1" x14ac:dyDescent="0.2">
      <c r="A1762" s="5">
        <v>1701</v>
      </c>
      <c r="B1762" s="138">
        <f>'Tax Sched 23'!D6</f>
        <v>165501</v>
      </c>
      <c r="C1762" s="2" t="s">
        <v>573</v>
      </c>
      <c r="D1762" s="2" t="str">
        <f t="shared" si="26"/>
        <v>Error?</v>
      </c>
      <c r="E1762" s="9"/>
    </row>
    <row r="1763" spans="1:5" x14ac:dyDescent="0.2">
      <c r="A1763" s="5">
        <v>1702</v>
      </c>
      <c r="B1763" s="138">
        <f>'Tax Sched 23'!D7</f>
        <v>125942</v>
      </c>
      <c r="C1763" s="2" t="s">
        <v>573</v>
      </c>
      <c r="D1763" s="2" t="str">
        <f t="shared" si="26"/>
        <v>Error?</v>
      </c>
    </row>
    <row r="1764" spans="1:5" x14ac:dyDescent="0.2">
      <c r="A1764" s="5">
        <v>1703</v>
      </c>
      <c r="B1764" s="138">
        <f>'Tax Sched 23'!D8</f>
        <v>78711</v>
      </c>
      <c r="C1764" s="2" t="s">
        <v>573</v>
      </c>
      <c r="D1764" s="2" t="str">
        <f t="shared" si="26"/>
        <v>Error?</v>
      </c>
    </row>
    <row r="1765" spans="1:5" x14ac:dyDescent="0.2">
      <c r="A1765" s="5">
        <v>1704</v>
      </c>
      <c r="B1765" s="138">
        <f>'Tax Sched 23'!D10</f>
        <v>12764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37394</v>
      </c>
      <c r="C1768" s="2" t="s">
        <v>573</v>
      </c>
      <c r="D1768" s="2" t="str">
        <f t="shared" si="26"/>
        <v>Error?</v>
      </c>
    </row>
    <row r="1769" spans="1:5" x14ac:dyDescent="0.2">
      <c r="A1769" s="5">
        <v>1708</v>
      </c>
      <c r="B1769" s="138">
        <f>'Tax Sched 23'!D12</f>
        <v>12764</v>
      </c>
      <c r="C1769" s="2" t="s">
        <v>573</v>
      </c>
      <c r="D1769" s="2" t="str">
        <f t="shared" si="26"/>
        <v>Error?</v>
      </c>
    </row>
    <row r="1770" spans="1:5" x14ac:dyDescent="0.2">
      <c r="A1770" s="5">
        <v>1709</v>
      </c>
      <c r="B1770" s="138">
        <f>'Tax Sched 23'!D14</f>
        <v>12764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2264611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1485119</v>
      </c>
      <c r="C1792" s="2" t="s">
        <v>573</v>
      </c>
      <c r="D1792" s="2" t="str">
        <f t="shared" si="27"/>
        <v>Error?</v>
      </c>
    </row>
    <row r="1793" spans="1:4" x14ac:dyDescent="0.2">
      <c r="A1793" s="5">
        <v>1732</v>
      </c>
      <c r="B1793" s="138">
        <f>'Tax Sched 23'!F5</f>
        <v>308285</v>
      </c>
      <c r="C1793" s="2" t="s">
        <v>573</v>
      </c>
      <c r="D1793" s="2" t="str">
        <f t="shared" si="27"/>
        <v>Error?</v>
      </c>
    </row>
    <row r="1794" spans="1:4" x14ac:dyDescent="0.2">
      <c r="A1794" s="5">
        <v>1733</v>
      </c>
      <c r="B1794" s="138">
        <f>'Tax Sched 23'!F6</f>
        <v>166531</v>
      </c>
      <c r="C1794" s="2" t="s">
        <v>573</v>
      </c>
      <c r="D1794" s="2" t="str">
        <f t="shared" si="27"/>
        <v>Error?</v>
      </c>
    </row>
    <row r="1795" spans="1:4" x14ac:dyDescent="0.2">
      <c r="A1795" s="5">
        <v>1734</v>
      </c>
      <c r="B1795" s="138">
        <f>'Tax Sched 23'!F7</f>
        <v>130815</v>
      </c>
      <c r="C1795" s="2" t="s">
        <v>573</v>
      </c>
      <c r="D1795" s="2" t="str">
        <f t="shared" si="27"/>
        <v>Error?</v>
      </c>
    </row>
    <row r="1796" spans="1:4" x14ac:dyDescent="0.2">
      <c r="A1796" s="5">
        <v>1735</v>
      </c>
      <c r="B1796" s="138">
        <f>'Tax Sched 23'!F8</f>
        <v>79903</v>
      </c>
      <c r="C1796" s="2" t="s">
        <v>573</v>
      </c>
      <c r="D1796" s="2" t="str">
        <f t="shared" si="27"/>
        <v>Error?</v>
      </c>
    </row>
    <row r="1797" spans="1:4" x14ac:dyDescent="0.2">
      <c r="A1797" s="5">
        <v>1736</v>
      </c>
      <c r="B1797" s="138">
        <f>'Tax Sched 23'!F10</f>
        <v>10543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30406</v>
      </c>
      <c r="C1800" s="2" t="s">
        <v>573</v>
      </c>
      <c r="D1800" s="2" t="str">
        <f t="shared" si="27"/>
        <v>Error?</v>
      </c>
    </row>
    <row r="1801" spans="1:4" x14ac:dyDescent="0.2">
      <c r="A1801" s="5">
        <v>1740</v>
      </c>
      <c r="B1801" s="138">
        <f>'Tax Sched 23'!F12</f>
        <v>12162</v>
      </c>
      <c r="C1801" s="2" t="s">
        <v>573</v>
      </c>
      <c r="D1801" s="2" t="str">
        <f t="shared" si="27"/>
        <v>Error?</v>
      </c>
    </row>
    <row r="1802" spans="1:4" x14ac:dyDescent="0.2">
      <c r="A1802" s="5">
        <v>1741</v>
      </c>
      <c r="B1802" s="138">
        <f>'Tax Sched 23'!F14</f>
        <v>12162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2324930</v>
      </c>
      <c r="C1807" s="2" t="s">
        <v>573</v>
      </c>
      <c r="D1807" s="2" t="str">
        <f t="shared" si="27"/>
        <v>Error?</v>
      </c>
    </row>
    <row r="1808" spans="1:4" x14ac:dyDescent="0.2">
      <c r="A1808" s="5">
        <v>1747</v>
      </c>
      <c r="B1808" s="138">
        <f>'Tax Sched 23'!E4</f>
        <v>1485119</v>
      </c>
      <c r="D1808" s="2" t="str">
        <f t="shared" si="27"/>
        <v>Error?</v>
      </c>
    </row>
    <row r="1809" spans="1:4" x14ac:dyDescent="0.2">
      <c r="A1809" s="5">
        <v>1748</v>
      </c>
      <c r="B1809" s="138">
        <f>'Tax Sched 23'!E5</f>
        <v>308285</v>
      </c>
      <c r="D1809" s="2" t="str">
        <f t="shared" si="27"/>
        <v>Error?</v>
      </c>
    </row>
    <row r="1810" spans="1:4" x14ac:dyDescent="0.2">
      <c r="A1810" s="5">
        <v>1749</v>
      </c>
      <c r="B1810" s="138">
        <f>'Tax Sched 23'!E6</f>
        <v>166531</v>
      </c>
      <c r="D1810" s="2" t="str">
        <f t="shared" si="27"/>
        <v>Error?</v>
      </c>
    </row>
    <row r="1811" spans="1:4" x14ac:dyDescent="0.2">
      <c r="A1811" s="5">
        <v>1750</v>
      </c>
      <c r="B1811" s="138">
        <f>'Tax Sched 23'!E7</f>
        <v>130815</v>
      </c>
      <c r="D1811" s="2" t="str">
        <f t="shared" si="27"/>
        <v>Error?</v>
      </c>
    </row>
    <row r="1812" spans="1:4" x14ac:dyDescent="0.2">
      <c r="A1812" s="5">
        <v>1751</v>
      </c>
      <c r="B1812" s="138">
        <f>'Tax Sched 23'!E8</f>
        <v>79903</v>
      </c>
      <c r="D1812" s="2" t="str">
        <f t="shared" si="27"/>
        <v>Error?</v>
      </c>
    </row>
    <row r="1813" spans="1:4" x14ac:dyDescent="0.2">
      <c r="A1813" s="5">
        <v>1752</v>
      </c>
      <c r="B1813" s="138">
        <f>'Tax Sched 23'!E10</f>
        <v>10543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30406</v>
      </c>
      <c r="D1816" s="2" t="str">
        <f t="shared" si="27"/>
        <v>Error?</v>
      </c>
    </row>
    <row r="1817" spans="1:4" x14ac:dyDescent="0.2">
      <c r="A1817" s="5">
        <v>1756</v>
      </c>
      <c r="B1817" s="138">
        <f>'Tax Sched 23'!E12</f>
        <v>12162</v>
      </c>
      <c r="D1817" s="2" t="str">
        <f t="shared" si="27"/>
        <v>Error?</v>
      </c>
    </row>
    <row r="1818" spans="1:4" x14ac:dyDescent="0.2">
      <c r="A1818" s="5">
        <v>1757</v>
      </c>
      <c r="B1818" s="138">
        <f>'Tax Sched 23'!E14</f>
        <v>12162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2324930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1642239</v>
      </c>
      <c r="C1939" s="2" t="s">
        <v>573</v>
      </c>
      <c r="D1939" s="2" t="str">
        <f t="shared" si="29"/>
        <v>Error?</v>
      </c>
    </row>
    <row r="1940" spans="1:5" x14ac:dyDescent="0.2">
      <c r="A1940" s="5">
        <v>1879</v>
      </c>
      <c r="B1940" s="138">
        <f>'Short-Term Long-Term Debt 24'!F49</f>
        <v>2595000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12764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12764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12764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121982</v>
      </c>
      <c r="D2008" s="2" t="str">
        <f t="shared" si="30"/>
        <v>Error?</v>
      </c>
    </row>
    <row r="2009" spans="1:4" x14ac:dyDescent="0.2">
      <c r="A2009" s="5">
        <v>1948</v>
      </c>
      <c r="B2009" s="138">
        <f>'Cap Outlay Deprec 26'!C8</f>
        <v>9398671</v>
      </c>
      <c r="D2009" s="2" t="str">
        <f t="shared" si="30"/>
        <v>Error?</v>
      </c>
    </row>
    <row r="2010" spans="1:4" x14ac:dyDescent="0.2">
      <c r="A2010" s="5">
        <v>1949</v>
      </c>
      <c r="B2010" s="138">
        <f>'Cap Outlay Deprec 26'!C10</f>
        <v>1625173</v>
      </c>
      <c r="D2010" s="2" t="str">
        <f t="shared" si="30"/>
        <v>Error?</v>
      </c>
    </row>
    <row r="2011" spans="1:4" x14ac:dyDescent="0.2">
      <c r="A2011" s="5">
        <v>1950</v>
      </c>
      <c r="B2011" s="138">
        <f>'Cap Outlay Deprec 26'!C12</f>
        <v>1791049</v>
      </c>
      <c r="D2011" s="2" t="str">
        <f t="shared" si="30"/>
        <v>Error?</v>
      </c>
    </row>
    <row r="2012" spans="1:4" x14ac:dyDescent="0.2">
      <c r="A2012" s="5">
        <v>1951</v>
      </c>
      <c r="B2012" s="138">
        <f>'Cap Outlay Deprec 26'!C13</f>
        <v>693386</v>
      </c>
      <c r="D2012" s="2" t="str">
        <f t="shared" si="30"/>
        <v>Error?</v>
      </c>
    </row>
    <row r="2013" spans="1:4" x14ac:dyDescent="0.2">
      <c r="A2013" s="5">
        <v>1952</v>
      </c>
      <c r="B2013" s="138">
        <f>'Cap Outlay Deprec 26'!C16</f>
        <v>14196082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220557</v>
      </c>
      <c r="D2016" s="2" t="str">
        <f t="shared" si="30"/>
        <v>Error?</v>
      </c>
    </row>
    <row r="2017" spans="1:4" x14ac:dyDescent="0.2">
      <c r="A2017" s="5">
        <v>1956</v>
      </c>
      <c r="B2017" s="138">
        <f>'Cap Outlay Deprec 26'!D12</f>
        <v>82712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332386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11108</v>
      </c>
      <c r="C2025" s="2" t="s">
        <v>573</v>
      </c>
      <c r="D2025" s="2" t="str">
        <f t="shared" si="30"/>
        <v>Error?</v>
      </c>
    </row>
    <row r="2026" spans="1:4" x14ac:dyDescent="0.2">
      <c r="A2026" s="5">
        <v>1965</v>
      </c>
      <c r="B2026" s="138">
        <f>'Cap Outlay Deprec 26'!F5</f>
        <v>121982</v>
      </c>
      <c r="C2026" s="2" t="s">
        <v>573</v>
      </c>
      <c r="D2026" s="2" t="str">
        <f t="shared" si="30"/>
        <v>Error?</v>
      </c>
    </row>
    <row r="2027" spans="1:4" x14ac:dyDescent="0.2">
      <c r="A2027" s="5">
        <v>1966</v>
      </c>
      <c r="B2027" s="138">
        <f>'Cap Outlay Deprec 26'!F8</f>
        <v>9398671</v>
      </c>
      <c r="C2027" s="2" t="s">
        <v>573</v>
      </c>
      <c r="D2027" s="2" t="str">
        <f t="shared" si="30"/>
        <v>Error?</v>
      </c>
    </row>
    <row r="2028" spans="1:4" x14ac:dyDescent="0.2">
      <c r="A2028" s="5">
        <v>1967</v>
      </c>
      <c r="B2028" s="138">
        <f>'Cap Outlay Deprec 26'!F10</f>
        <v>1845730</v>
      </c>
      <c r="C2028" s="2" t="s">
        <v>573</v>
      </c>
      <c r="D2028" s="2" t="str">
        <f t="shared" si="30"/>
        <v>Error?</v>
      </c>
    </row>
    <row r="2029" spans="1:4" x14ac:dyDescent="0.2">
      <c r="A2029" s="5">
        <v>1968</v>
      </c>
      <c r="B2029" s="138">
        <f>'Cap Outlay Deprec 26'!F12</f>
        <v>1873761</v>
      </c>
      <c r="C2029" s="2" t="s">
        <v>573</v>
      </c>
      <c r="D2029" s="2" t="str">
        <f t="shared" si="30"/>
        <v>Error?</v>
      </c>
    </row>
    <row r="2030" spans="1:4" x14ac:dyDescent="0.2">
      <c r="A2030" s="5">
        <v>1969</v>
      </c>
      <c r="B2030" s="138">
        <f>'Cap Outlay Deprec 26'!F13</f>
        <v>693386</v>
      </c>
      <c r="C2030" s="2" t="s">
        <v>573</v>
      </c>
      <c r="D2030" s="2" t="str">
        <f t="shared" si="30"/>
        <v>Error?</v>
      </c>
    </row>
    <row r="2031" spans="1:4" x14ac:dyDescent="0.2">
      <c r="A2031" s="5">
        <v>1970</v>
      </c>
      <c r="B2031" s="138">
        <f>'Cap Outlay Deprec 26'!F16</f>
        <v>14517360</v>
      </c>
      <c r="C2031" s="2" t="s">
        <v>573</v>
      </c>
      <c r="D2031" s="2" t="str">
        <f t="shared" si="30"/>
        <v>Error?</v>
      </c>
    </row>
    <row r="2032" spans="1:4" x14ac:dyDescent="0.2">
      <c r="A2032" s="10">
        <v>1971</v>
      </c>
      <c r="D2032" s="2" t="str">
        <f t="shared" si="30"/>
        <v>OK</v>
      </c>
    </row>
    <row r="2033" spans="1:4" x14ac:dyDescent="0.2">
      <c r="A2033" s="5">
        <v>1972</v>
      </c>
      <c r="B2033" s="138">
        <f>'Cap Outlay Deprec 26'!H8</f>
        <v>4022135</v>
      </c>
      <c r="D2033" s="2" t="str">
        <f t="shared" si="30"/>
        <v>Error?</v>
      </c>
    </row>
    <row r="2034" spans="1:4" x14ac:dyDescent="0.2">
      <c r="A2034" s="5">
        <v>1973</v>
      </c>
      <c r="B2034" s="138">
        <f>'Cap Outlay Deprec 26'!H10</f>
        <v>400720</v>
      </c>
      <c r="D2034" s="2" t="str">
        <f t="shared" si="30"/>
        <v>Error?</v>
      </c>
    </row>
    <row r="2035" spans="1:4" x14ac:dyDescent="0.2">
      <c r="A2035" s="5">
        <v>1974</v>
      </c>
      <c r="B2035" s="138">
        <f>'Cap Outlay Deprec 26'!H12</f>
        <v>1659048</v>
      </c>
      <c r="D2035" s="2" t="str">
        <f t="shared" si="30"/>
        <v>Error?</v>
      </c>
    </row>
    <row r="2036" spans="1:4" x14ac:dyDescent="0.2">
      <c r="A2036" s="5">
        <v>1975</v>
      </c>
      <c r="B2036" s="138">
        <f>'Cap Outlay Deprec 26'!H13</f>
        <v>224320</v>
      </c>
      <c r="D2036" s="2" t="str">
        <f t="shared" si="30"/>
        <v>Error?</v>
      </c>
    </row>
    <row r="2037" spans="1:4" x14ac:dyDescent="0.2">
      <c r="A2037" s="5">
        <v>1976</v>
      </c>
      <c r="B2037" s="138">
        <f>'Cap Outlay Deprec 26'!H16</f>
        <v>6800326</v>
      </c>
      <c r="C2037" s="2" t="s">
        <v>573</v>
      </c>
      <c r="D2037" s="2" t="str">
        <f t="shared" si="30"/>
        <v>Error?</v>
      </c>
    </row>
    <row r="2038" spans="1:4" x14ac:dyDescent="0.2">
      <c r="A2038" s="10">
        <v>1977</v>
      </c>
      <c r="D2038" s="2" t="str">
        <f t="shared" si="30"/>
        <v>OK</v>
      </c>
    </row>
    <row r="2039" spans="1:4" x14ac:dyDescent="0.2">
      <c r="A2039" s="5">
        <v>1978</v>
      </c>
      <c r="B2039" s="138">
        <f>'Cap Outlay Deprec 26'!I8</f>
        <v>187973</v>
      </c>
      <c r="D2039" s="2" t="str">
        <f t="shared" si="30"/>
        <v>Error?</v>
      </c>
    </row>
    <row r="2040" spans="1:4" x14ac:dyDescent="0.2">
      <c r="A2040" s="5">
        <v>1979</v>
      </c>
      <c r="B2040" s="138">
        <f>'Cap Outlay Deprec 26'!I10</f>
        <v>84486</v>
      </c>
      <c r="D2040" s="2" t="str">
        <f t="shared" si="30"/>
        <v>Error?</v>
      </c>
    </row>
    <row r="2041" spans="1:4" x14ac:dyDescent="0.2">
      <c r="A2041" s="5">
        <v>1980</v>
      </c>
      <c r="B2041" s="138">
        <f>'Cap Outlay Deprec 26'!I12</f>
        <v>25203</v>
      </c>
      <c r="D2041" s="2" t="str">
        <f t="shared" si="30"/>
        <v>Error?</v>
      </c>
    </row>
    <row r="2042" spans="1:4" x14ac:dyDescent="0.2">
      <c r="A2042" s="5">
        <v>1981</v>
      </c>
      <c r="B2042" s="138">
        <f>'Cap Outlay Deprec 26'!I13</f>
        <v>68825</v>
      </c>
      <c r="D2042" s="2" t="str">
        <f t="shared" si="30"/>
        <v>Error?</v>
      </c>
    </row>
    <row r="2043" spans="1:4" x14ac:dyDescent="0.2">
      <c r="A2043" s="5">
        <v>1982</v>
      </c>
      <c r="B2043" s="138">
        <f>'Cap Outlay Deprec 26'!I16</f>
        <v>395596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4210108</v>
      </c>
      <c r="C2051" s="2" t="s">
        <v>573</v>
      </c>
      <c r="D2051" s="2" t="str">
        <f t="shared" si="31"/>
        <v>Error?</v>
      </c>
    </row>
    <row r="2052" spans="1:4" x14ac:dyDescent="0.2">
      <c r="A2052" s="5">
        <v>1991</v>
      </c>
      <c r="B2052" s="138">
        <f>'Cap Outlay Deprec 26'!K10</f>
        <v>485206</v>
      </c>
      <c r="C2052" s="2" t="s">
        <v>573</v>
      </c>
      <c r="D2052" s="2" t="str">
        <f t="shared" si="31"/>
        <v>Error?</v>
      </c>
    </row>
    <row r="2053" spans="1:4" x14ac:dyDescent="0.2">
      <c r="A2053" s="5">
        <v>1992</v>
      </c>
      <c r="B2053" s="138">
        <f>'Cap Outlay Deprec 26'!K12</f>
        <v>1684251</v>
      </c>
      <c r="C2053" s="2" t="s">
        <v>573</v>
      </c>
      <c r="D2053" s="2" t="str">
        <f t="shared" si="31"/>
        <v>Error?</v>
      </c>
    </row>
    <row r="2054" spans="1:4" x14ac:dyDescent="0.2">
      <c r="A2054" s="5">
        <v>1993</v>
      </c>
      <c r="B2054" s="138">
        <f>'Cap Outlay Deprec 26'!K13</f>
        <v>293145</v>
      </c>
      <c r="C2054" s="2" t="s">
        <v>573</v>
      </c>
      <c r="D2054" s="2" t="str">
        <f t="shared" si="31"/>
        <v>Error?</v>
      </c>
    </row>
    <row r="2055" spans="1:4" x14ac:dyDescent="0.2">
      <c r="A2055" s="5">
        <v>1994</v>
      </c>
      <c r="B2055" s="138">
        <f>'Cap Outlay Deprec 26'!K16</f>
        <v>7195922</v>
      </c>
      <c r="C2055" s="2" t="s">
        <v>573</v>
      </c>
      <c r="D2055" s="2" t="str">
        <f t="shared" si="31"/>
        <v>Error?</v>
      </c>
    </row>
    <row r="2056" spans="1:4" x14ac:dyDescent="0.2">
      <c r="A2056" s="5">
        <v>1995</v>
      </c>
      <c r="B2056" s="138">
        <f>'Cap Outlay Deprec 26'!L5</f>
        <v>121982</v>
      </c>
      <c r="C2056" s="2" t="s">
        <v>573</v>
      </c>
      <c r="D2056" s="2" t="str">
        <f t="shared" si="31"/>
        <v>Error?</v>
      </c>
    </row>
    <row r="2057" spans="1:4" x14ac:dyDescent="0.2">
      <c r="A2057" s="5">
        <v>1996</v>
      </c>
      <c r="B2057" s="138">
        <f>'Cap Outlay Deprec 26'!L8</f>
        <v>5188563</v>
      </c>
      <c r="C2057" s="2" t="s">
        <v>573</v>
      </c>
      <c r="D2057" s="2" t="str">
        <f t="shared" si="31"/>
        <v>Error?</v>
      </c>
    </row>
    <row r="2058" spans="1:4" x14ac:dyDescent="0.2">
      <c r="A2058" s="5">
        <v>1997</v>
      </c>
      <c r="B2058" s="138">
        <f>'Cap Outlay Deprec 26'!L10</f>
        <v>1360524</v>
      </c>
      <c r="C2058" s="2" t="s">
        <v>573</v>
      </c>
      <c r="D2058" s="2" t="str">
        <f t="shared" si="31"/>
        <v>Error?</v>
      </c>
    </row>
    <row r="2059" spans="1:4" x14ac:dyDescent="0.2">
      <c r="A2059" s="5">
        <v>1998</v>
      </c>
      <c r="B2059" s="138">
        <f>'Cap Outlay Deprec 26'!L12</f>
        <v>189510</v>
      </c>
      <c r="C2059" s="2" t="s">
        <v>573</v>
      </c>
      <c r="D2059" s="2" t="str">
        <f t="shared" si="31"/>
        <v>Error?</v>
      </c>
    </row>
    <row r="2060" spans="1:4" x14ac:dyDescent="0.2">
      <c r="A2060" s="5">
        <v>1999</v>
      </c>
      <c r="B2060" s="138">
        <f>'Cap Outlay Deprec 26'!L13</f>
        <v>400241</v>
      </c>
      <c r="C2060" s="2" t="s">
        <v>573</v>
      </c>
      <c r="D2060" s="2" t="str">
        <f t="shared" si="31"/>
        <v>Error?</v>
      </c>
    </row>
    <row r="2061" spans="1:4" x14ac:dyDescent="0.2">
      <c r="A2061" s="5">
        <v>2000</v>
      </c>
      <c r="B2061" s="138">
        <f>'Cap Outlay Deprec 26'!L16</f>
        <v>7321438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97311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100366</v>
      </c>
      <c r="C2088" s="2" t="s">
        <v>573</v>
      </c>
      <c r="D2088" s="2" t="str">
        <f t="shared" si="31"/>
        <v>Error?</v>
      </c>
    </row>
    <row r="2089" spans="1:4" x14ac:dyDescent="0.2">
      <c r="A2089" s="5">
        <v>2028</v>
      </c>
      <c r="B2089" s="138">
        <f>'Expenditures 15-22'!K92</f>
        <v>31139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55166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1602693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1641233</v>
      </c>
      <c r="C2551" s="2" t="s">
        <v>573</v>
      </c>
      <c r="D2551" s="2" t="str">
        <f t="shared" si="38"/>
        <v>Error?</v>
      </c>
    </row>
    <row r="2552" spans="1:4" x14ac:dyDescent="0.2">
      <c r="A2552" s="10">
        <v>2491</v>
      </c>
      <c r="D2552" s="2" t="str">
        <f t="shared" si="38"/>
        <v>OK</v>
      </c>
    </row>
    <row r="2553" spans="1:4" x14ac:dyDescent="0.2">
      <c r="A2553" s="5">
        <v>2492</v>
      </c>
      <c r="B2553" s="138">
        <f>'Acct Summary 7-8'!C6</f>
        <v>2704900</v>
      </c>
      <c r="C2553" s="2" t="s">
        <v>573</v>
      </c>
      <c r="D2553" s="2" t="str">
        <f t="shared" si="38"/>
        <v>Error?</v>
      </c>
    </row>
    <row r="2554" spans="1:4" x14ac:dyDescent="0.2">
      <c r="A2554" s="5">
        <v>2493</v>
      </c>
      <c r="B2554" s="138">
        <f>'Acct Summary 7-8'!C7</f>
        <v>536470</v>
      </c>
      <c r="C2554" s="2" t="s">
        <v>573</v>
      </c>
      <c r="D2554" s="2" t="str">
        <f t="shared" si="38"/>
        <v>Error?</v>
      </c>
    </row>
    <row r="2555" spans="1:4" x14ac:dyDescent="0.2">
      <c r="A2555" s="5">
        <v>2494</v>
      </c>
      <c r="B2555" s="138">
        <f>'Acct Summary 7-8'!C8</f>
        <v>4882603</v>
      </c>
      <c r="C2555" s="2" t="s">
        <v>573</v>
      </c>
      <c r="D2555" s="2" t="str">
        <f t="shared" si="38"/>
        <v>Error?</v>
      </c>
    </row>
    <row r="2556" spans="1:4" x14ac:dyDescent="0.2">
      <c r="A2556" s="5">
        <v>2495</v>
      </c>
      <c r="B2556" s="138">
        <f>'Acct Summary 7-8'!C12</f>
        <v>3146363</v>
      </c>
      <c r="C2556" s="2" t="s">
        <v>573</v>
      </c>
      <c r="D2556" s="2" t="str">
        <f t="shared" si="38"/>
        <v>Error?</v>
      </c>
    </row>
    <row r="2557" spans="1:4" x14ac:dyDescent="0.2">
      <c r="A2557" s="5">
        <v>2496</v>
      </c>
      <c r="B2557" s="138">
        <f>'Acct Summary 7-8'!C13</f>
        <v>1397030</v>
      </c>
      <c r="C2557" s="2" t="s">
        <v>573</v>
      </c>
      <c r="D2557" s="2" t="str">
        <f t="shared" si="38"/>
        <v>Error?</v>
      </c>
    </row>
    <row r="2558" spans="1:4" x14ac:dyDescent="0.2">
      <c r="A2558" s="5">
        <v>2497</v>
      </c>
      <c r="B2558" s="138">
        <f>'Acct Summary 7-8'!C14</f>
        <v>135493</v>
      </c>
      <c r="C2558" s="2" t="s">
        <v>573</v>
      </c>
      <c r="D2558" s="2" t="str">
        <f t="shared" si="38"/>
        <v>Error?</v>
      </c>
    </row>
    <row r="2559" spans="1:4" x14ac:dyDescent="0.2">
      <c r="A2559" s="5">
        <v>2498</v>
      </c>
      <c r="B2559" s="138">
        <f>'Acct Summary 7-8'!C15</f>
        <v>131505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4810391</v>
      </c>
      <c r="C2561" s="2" t="s">
        <v>573</v>
      </c>
      <c r="D2561" s="2" t="str">
        <f t="shared" si="39"/>
        <v>Error?</v>
      </c>
    </row>
    <row r="2562" spans="1:4" x14ac:dyDescent="0.2">
      <c r="A2562" s="5">
        <v>2501</v>
      </c>
      <c r="B2562" s="138">
        <f>'Acct Summary 7-8'!C20</f>
        <v>72212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346648</v>
      </c>
      <c r="C2564" s="2" t="s">
        <v>573</v>
      </c>
      <c r="D2564" s="2" t="str">
        <f t="shared" si="39"/>
        <v>Error?</v>
      </c>
    </row>
    <row r="2565" spans="1:4" x14ac:dyDescent="0.2">
      <c r="A2565" s="10">
        <v>2504</v>
      </c>
      <c r="D2565" s="2" t="str">
        <f t="shared" si="39"/>
        <v>OK</v>
      </c>
    </row>
    <row r="2566" spans="1:4" x14ac:dyDescent="0.2">
      <c r="A2566" s="5">
        <v>2505</v>
      </c>
      <c r="B2566" s="138">
        <f>'Acct Summary 7-8'!D6</f>
        <v>60000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406648</v>
      </c>
      <c r="C2568" s="2" t="s">
        <v>573</v>
      </c>
      <c r="D2568" s="2" t="str">
        <f t="shared" si="39"/>
        <v>Error?</v>
      </c>
    </row>
    <row r="2569" spans="1:4" x14ac:dyDescent="0.2">
      <c r="A2569" s="5">
        <v>2508</v>
      </c>
      <c r="B2569" s="138">
        <f>'Acct Summary 7-8'!D13</f>
        <v>406184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406184</v>
      </c>
      <c r="C2573" s="2" t="s">
        <v>573</v>
      </c>
      <c r="D2573" s="2" t="str">
        <f t="shared" si="39"/>
        <v>Error?</v>
      </c>
    </row>
    <row r="2574" spans="1:4" x14ac:dyDescent="0.2">
      <c r="A2574" s="5">
        <v>2513</v>
      </c>
      <c r="B2574" s="138">
        <f>'Acct Summary 7-8'!D20</f>
        <v>464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168220</v>
      </c>
      <c r="C2591" s="2" t="s">
        <v>573</v>
      </c>
      <c r="D2591" s="2" t="str">
        <f t="shared" si="39"/>
        <v>Error?</v>
      </c>
    </row>
    <row r="2592" spans="1:4" x14ac:dyDescent="0.2">
      <c r="A2592" s="10">
        <v>2531</v>
      </c>
      <c r="D2592" s="2" t="str">
        <f t="shared" si="39"/>
        <v>OK</v>
      </c>
    </row>
    <row r="2593" spans="1:4" x14ac:dyDescent="0.2">
      <c r="A2593" s="5">
        <v>2532</v>
      </c>
      <c r="B2593" s="138">
        <f>'Acct Summary 7-8'!F6</f>
        <v>180162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348382</v>
      </c>
      <c r="C2595" s="2" t="s">
        <v>573</v>
      </c>
      <c r="D2595" s="2" t="str">
        <f t="shared" si="39"/>
        <v>Error?</v>
      </c>
    </row>
    <row r="2596" spans="1:4" x14ac:dyDescent="0.2">
      <c r="A2596" s="5">
        <v>2535</v>
      </c>
      <c r="B2596" s="138">
        <f>'Acct Summary 7-8'!F13</f>
        <v>347455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347455</v>
      </c>
      <c r="C2600" s="2" t="s">
        <v>573</v>
      </c>
      <c r="D2600" s="2" t="str">
        <f t="shared" si="39"/>
        <v>Error?</v>
      </c>
    </row>
    <row r="2601" spans="1:4" x14ac:dyDescent="0.2">
      <c r="A2601" s="5">
        <v>2540</v>
      </c>
      <c r="B2601" s="138">
        <f>'Acct Summary 7-8'!F20</f>
        <v>927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206174</v>
      </c>
      <c r="C2603" s="2" t="s">
        <v>573</v>
      </c>
      <c r="D2603" s="2" t="str">
        <f t="shared" si="39"/>
        <v>Error?</v>
      </c>
    </row>
    <row r="2604" spans="1:4" x14ac:dyDescent="0.2">
      <c r="A2604" s="5">
        <v>2543</v>
      </c>
      <c r="B2604" s="138">
        <f>'Acct Summary 7-8'!G6</f>
        <v>10000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216174</v>
      </c>
      <c r="C2606" s="2" t="s">
        <v>573</v>
      </c>
      <c r="D2606" s="2" t="str">
        <f t="shared" si="39"/>
        <v>Error?</v>
      </c>
    </row>
    <row r="2607" spans="1:4" x14ac:dyDescent="0.2">
      <c r="A2607" s="5">
        <v>2546</v>
      </c>
      <c r="B2607" s="138">
        <f>'Acct Summary 7-8'!G12</f>
        <v>56939</v>
      </c>
      <c r="C2607" s="2" t="s">
        <v>573</v>
      </c>
      <c r="D2607" s="2" t="str">
        <f t="shared" si="39"/>
        <v>Error?</v>
      </c>
    </row>
    <row r="2608" spans="1:4" x14ac:dyDescent="0.2">
      <c r="A2608" s="5">
        <v>2547</v>
      </c>
      <c r="B2608" s="138">
        <f>'Acct Summary 7-8'!G13</f>
        <v>126900</v>
      </c>
      <c r="C2608" s="2" t="s">
        <v>573</v>
      </c>
      <c r="D2608" s="2" t="str">
        <f t="shared" si="39"/>
        <v>Error?</v>
      </c>
    </row>
    <row r="2609" spans="1:4" x14ac:dyDescent="0.2">
      <c r="A2609" s="5">
        <v>2548</v>
      </c>
      <c r="B2609" s="138">
        <f>'Acct Summary 7-8'!G14</f>
        <v>10160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193999</v>
      </c>
      <c r="C2612" s="2" t="s">
        <v>573</v>
      </c>
      <c r="D2612" s="2" t="str">
        <f t="shared" si="39"/>
        <v>Error?</v>
      </c>
    </row>
    <row r="2613" spans="1:4" x14ac:dyDescent="0.2">
      <c r="A2613" s="5">
        <v>2552</v>
      </c>
      <c r="B2613" s="138">
        <f>'Acct Summary 7-8'!G20</f>
        <v>22175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165517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165517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220074</v>
      </c>
      <c r="C2634" s="2" t="s">
        <v>573</v>
      </c>
      <c r="D2634" s="2" t="str">
        <f t="shared" si="40"/>
        <v>Error?</v>
      </c>
    </row>
    <row r="2635" spans="1:4" x14ac:dyDescent="0.2">
      <c r="A2635" s="5">
        <v>2574</v>
      </c>
      <c r="B2635" s="138">
        <f>'Acct Summary 7-8'!E17</f>
        <v>220074</v>
      </c>
      <c r="C2635" s="2" t="s">
        <v>573</v>
      </c>
      <c r="D2635" s="2" t="str">
        <f t="shared" si="40"/>
        <v>Error?</v>
      </c>
    </row>
    <row r="2636" spans="1:4" x14ac:dyDescent="0.2">
      <c r="A2636" s="5">
        <v>2575</v>
      </c>
      <c r="B2636" s="138">
        <f>'Acct Summary 7-8'!E20</f>
        <v>-54557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187628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187628</v>
      </c>
      <c r="C2658" s="2" t="s">
        <v>573</v>
      </c>
      <c r="D2658" s="2" t="str">
        <f t="shared" si="40"/>
        <v>Error?</v>
      </c>
    </row>
    <row r="2659" spans="1:4" x14ac:dyDescent="0.2">
      <c r="A2659" s="5">
        <v>2598</v>
      </c>
      <c r="B2659" s="138">
        <f>'Acct Summary 7-8'!H13</f>
        <v>237350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237350</v>
      </c>
      <c r="C2661" s="2" t="s">
        <v>573</v>
      </c>
      <c r="D2661" s="2" t="str">
        <f t="shared" si="40"/>
        <v>Error?</v>
      </c>
    </row>
    <row r="2662" spans="1:4" x14ac:dyDescent="0.2">
      <c r="A2662" s="5">
        <v>2601</v>
      </c>
      <c r="B2662" s="138">
        <f>'Acct Summary 7-8'!H20</f>
        <v>-49722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7806</v>
      </c>
      <c r="D2718" s="2" t="str">
        <f t="shared" si="41"/>
        <v>Error?</v>
      </c>
    </row>
    <row r="2719" spans="1:4" x14ac:dyDescent="0.2">
      <c r="A2719" s="5">
        <v>2658</v>
      </c>
      <c r="B2719" s="138">
        <f>'Expenditures 15-22'!D51</f>
        <v>33</v>
      </c>
      <c r="D2719" s="2" t="str">
        <f t="shared" si="41"/>
        <v>Error?</v>
      </c>
    </row>
    <row r="2720" spans="1:4" x14ac:dyDescent="0.2">
      <c r="A2720" s="5">
        <v>2659</v>
      </c>
      <c r="B2720" s="138">
        <f>'Expenditures 15-22'!E51</f>
        <v>7950</v>
      </c>
      <c r="D2720" s="2" t="str">
        <f t="shared" si="41"/>
        <v>Error?</v>
      </c>
    </row>
    <row r="2721" spans="1:4" x14ac:dyDescent="0.2">
      <c r="A2721" s="5">
        <v>2660</v>
      </c>
      <c r="B2721" s="138">
        <f>'Expenditures 15-22'!F51</f>
        <v>3283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19072</v>
      </c>
      <c r="C2724" s="2" t="s">
        <v>573</v>
      </c>
      <c r="D2724" s="2" t="str">
        <f t="shared" si="41"/>
        <v>Error?</v>
      </c>
    </row>
    <row r="2725" spans="1:4" x14ac:dyDescent="0.2">
      <c r="A2725" s="5">
        <v>2664</v>
      </c>
      <c r="B2725" s="138">
        <f>'Expenditures 15-22'!D247</f>
        <v>1442</v>
      </c>
      <c r="D2725" s="2" t="str">
        <f t="shared" si="41"/>
        <v>Error?</v>
      </c>
    </row>
    <row r="2726" spans="1:4" x14ac:dyDescent="0.2">
      <c r="A2726" s="5">
        <v>2665</v>
      </c>
      <c r="B2726" s="138">
        <f>'Expenditures 15-22'!K247</f>
        <v>1442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3055</v>
      </c>
      <c r="C2789" s="2" t="s">
        <v>573</v>
      </c>
      <c r="D2789" s="2" t="str">
        <f t="shared" si="42"/>
        <v>Error?</v>
      </c>
    </row>
    <row r="2790" spans="1:4" x14ac:dyDescent="0.2">
      <c r="A2790" s="5">
        <v>2729</v>
      </c>
      <c r="B2790" s="138">
        <f>'Expenditures 15-22'!E102</f>
        <v>3055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163788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163804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120276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163804</v>
      </c>
      <c r="D2912" s="2" t="str">
        <f t="shared" si="44"/>
        <v>Error?</v>
      </c>
    </row>
    <row r="2913" spans="1:4" x14ac:dyDescent="0.2">
      <c r="A2913" s="5">
        <v>2852</v>
      </c>
      <c r="B2913" s="138">
        <f>'Assets-Liab 5-6'!I41</f>
        <v>163804</v>
      </c>
      <c r="C2913" s="2" t="s">
        <v>573</v>
      </c>
      <c r="D2913" s="2" t="str">
        <f t="shared" si="44"/>
        <v>Error?</v>
      </c>
    </row>
    <row r="2914" spans="1:4" x14ac:dyDescent="0.2">
      <c r="A2914" s="5">
        <v>2853</v>
      </c>
      <c r="B2914" s="138">
        <f>'Assets-Liab 5-6'!L33</f>
        <v>120276</v>
      </c>
      <c r="D2914" s="2" t="str">
        <f t="shared" si="44"/>
        <v>Error?</v>
      </c>
    </row>
    <row r="2915" spans="1:4" x14ac:dyDescent="0.2">
      <c r="A2915" s="10">
        <v>2854</v>
      </c>
      <c r="D2915" s="2" t="str">
        <f t="shared" si="44"/>
        <v>OK</v>
      </c>
    </row>
    <row r="2916" spans="1:4" x14ac:dyDescent="0.2">
      <c r="A2916" s="5">
        <v>2855</v>
      </c>
      <c r="B2916" s="138">
        <f>'Assets-Liab 5-6'!L34</f>
        <v>120276</v>
      </c>
      <c r="C2916" s="2" t="s">
        <v>573</v>
      </c>
      <c r="D2916" s="2" t="str">
        <f t="shared" si="44"/>
        <v>Error?</v>
      </c>
    </row>
    <row r="2917" spans="1:4" x14ac:dyDescent="0.2">
      <c r="A2917" s="5">
        <v>2856</v>
      </c>
      <c r="B2917" s="138">
        <f>'Assets-Liab 5-6'!L41</f>
        <v>120276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3055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97311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97311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3055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74308</v>
      </c>
      <c r="D3055" s="2" t="str">
        <f t="shared" si="46"/>
        <v>Error?</v>
      </c>
    </row>
    <row r="3056" spans="1:4" x14ac:dyDescent="0.2">
      <c r="A3056" s="5">
        <v>2995</v>
      </c>
      <c r="B3056" s="138">
        <f>'Expenditures 15-22'!D10</f>
        <v>14814</v>
      </c>
      <c r="D3056" s="2" t="str">
        <f t="shared" si="46"/>
        <v>Error?</v>
      </c>
    </row>
    <row r="3057" spans="1:4" x14ac:dyDescent="0.2">
      <c r="A3057" s="5">
        <v>2996</v>
      </c>
      <c r="B3057" s="138">
        <f>'Expenditures 15-22'!E10</f>
        <v>11542</v>
      </c>
      <c r="D3057" s="2" t="str">
        <f t="shared" si="46"/>
        <v>Error?</v>
      </c>
    </row>
    <row r="3058" spans="1:4" x14ac:dyDescent="0.2">
      <c r="A3058" s="5">
        <v>2997</v>
      </c>
      <c r="B3058" s="138">
        <f>'Expenditures 15-22'!F10</f>
        <v>4729</v>
      </c>
      <c r="D3058" s="2" t="str">
        <f t="shared" si="46"/>
        <v>Error?</v>
      </c>
    </row>
    <row r="3059" spans="1:4" x14ac:dyDescent="0.2">
      <c r="A3059" s="5">
        <v>2998</v>
      </c>
      <c r="B3059" s="138">
        <f>'Expenditures 15-22'!G10</f>
        <v>8346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113739</v>
      </c>
      <c r="C3062" s="2" t="s">
        <v>573</v>
      </c>
      <c r="D3062" s="2" t="str">
        <f t="shared" si="46"/>
        <v>Error?</v>
      </c>
    </row>
    <row r="3063" spans="1:4" x14ac:dyDescent="0.2">
      <c r="A3063" s="10">
        <v>3002</v>
      </c>
      <c r="D3063" s="2" t="str">
        <f t="shared" si="46"/>
        <v>OK</v>
      </c>
    </row>
    <row r="3064" spans="1:4" x14ac:dyDescent="0.2">
      <c r="A3064" s="5">
        <v>3003</v>
      </c>
      <c r="B3064" s="138">
        <f>'Expenditures 15-22'!D219</f>
        <v>1061</v>
      </c>
      <c r="D3064" s="2" t="str">
        <f t="shared" si="46"/>
        <v>Error?</v>
      </c>
    </row>
    <row r="3065" spans="1:4" x14ac:dyDescent="0.2">
      <c r="A3065" s="5">
        <v>3004</v>
      </c>
      <c r="B3065" s="138">
        <f>'Expenditures 15-22'!K219</f>
        <v>1061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13327</v>
      </c>
      <c r="C3225" s="2" t="s">
        <v>573</v>
      </c>
      <c r="D3225" s="2" t="str">
        <f t="shared" si="49"/>
        <v>Error?</v>
      </c>
    </row>
    <row r="3226" spans="1:4" x14ac:dyDescent="0.2">
      <c r="A3226" s="5">
        <v>3165</v>
      </c>
      <c r="B3226" s="138">
        <f>'Acct Summary 7-8'!I8</f>
        <v>13327</v>
      </c>
      <c r="C3226" s="2" t="s">
        <v>573</v>
      </c>
      <c r="D3226" s="2" t="str">
        <f t="shared" si="49"/>
        <v>Error?</v>
      </c>
    </row>
    <row r="3227" spans="1:4" x14ac:dyDescent="0.2">
      <c r="A3227" s="5">
        <v>3166</v>
      </c>
      <c r="B3227" s="138">
        <f>'Acct Summary 7-8'!I20</f>
        <v>13327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72212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927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22175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134466</v>
      </c>
      <c r="D3273" s="2" t="str">
        <f t="shared" si="50"/>
        <v>Error?</v>
      </c>
    </row>
    <row r="3274" spans="1:4" x14ac:dyDescent="0.2">
      <c r="A3274" s="5">
        <v>3213</v>
      </c>
      <c r="B3274" s="138">
        <f>'Acct Summary 7-8'!E44</f>
        <v>134466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134466</v>
      </c>
      <c r="C3277" s="2" t="s">
        <v>573</v>
      </c>
      <c r="D3277" s="2" t="str">
        <f t="shared" si="50"/>
        <v>Error?</v>
      </c>
    </row>
    <row r="3278" spans="1:4" x14ac:dyDescent="0.2">
      <c r="A3278" s="5">
        <v>3217</v>
      </c>
      <c r="B3278" s="138">
        <f>'Acct Summary 7-8'!E78</f>
        <v>79909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1670520</v>
      </c>
      <c r="C3296" s="2" t="s">
        <v>573</v>
      </c>
      <c r="D3296" s="2" t="str">
        <f t="shared" si="50"/>
        <v>Error?</v>
      </c>
    </row>
    <row r="3297" spans="1:4" x14ac:dyDescent="0.2">
      <c r="A3297" s="5">
        <v>3236</v>
      </c>
      <c r="B3297" s="138">
        <f>'Acct Summary 7-8'!H75</f>
        <v>202292</v>
      </c>
      <c r="D3297" s="2" t="str">
        <f t="shared" si="50"/>
        <v>Error?</v>
      </c>
    </row>
    <row r="3298" spans="1:4" x14ac:dyDescent="0.2">
      <c r="A3298" s="5">
        <v>3237</v>
      </c>
      <c r="B3298" s="138">
        <f>'Acct Summary 7-8'!H76</f>
        <v>202292</v>
      </c>
      <c r="C3298" s="2" t="s">
        <v>573</v>
      </c>
      <c r="D3298" s="2" t="str">
        <f t="shared" si="50"/>
        <v>Error?</v>
      </c>
    </row>
    <row r="3299" spans="1:4" x14ac:dyDescent="0.2">
      <c r="A3299" s="5">
        <v>3238</v>
      </c>
      <c r="B3299" s="138">
        <f>'Acct Summary 7-8'!H77</f>
        <v>1468228</v>
      </c>
      <c r="C3299" s="2" t="s">
        <v>573</v>
      </c>
      <c r="D3299" s="2" t="str">
        <f t="shared" si="50"/>
        <v>Error?</v>
      </c>
    </row>
    <row r="3300" spans="1:4" x14ac:dyDescent="0.2">
      <c r="A3300" s="5">
        <v>3239</v>
      </c>
      <c r="B3300" s="138">
        <f>'Acct Summary 7-8'!H78</f>
        <v>1418506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13327</v>
      </c>
      <c r="C3320" s="2" t="s">
        <v>573</v>
      </c>
      <c r="D3320" s="2" t="str">
        <f t="shared" si="50"/>
        <v>Error?</v>
      </c>
    </row>
    <row r="3321" spans="1:4" x14ac:dyDescent="0.2">
      <c r="A3321" s="5">
        <v>3260</v>
      </c>
      <c r="B3321" s="138">
        <f>'Acct Summary 7-8'!I79</f>
        <v>150477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163804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421304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44423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468731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21432</v>
      </c>
      <c r="D3387" s="2" t="str">
        <f t="shared" si="51"/>
        <v>Error?</v>
      </c>
    </row>
    <row r="3388" spans="1:4" x14ac:dyDescent="0.2">
      <c r="A3388" s="5">
        <v>3327</v>
      </c>
      <c r="B3388" s="138">
        <f>'Expenditures 15-22'!D217</f>
        <v>21325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21432</v>
      </c>
      <c r="C3390" s="2" t="s">
        <v>573</v>
      </c>
      <c r="D3390" s="2" t="str">
        <f t="shared" si="51"/>
        <v>Error?</v>
      </c>
    </row>
    <row r="3391" spans="1:4" x14ac:dyDescent="0.2">
      <c r="A3391" s="5">
        <v>3330</v>
      </c>
      <c r="B3391" s="138">
        <f>'Expenditures 15-22'!K217</f>
        <v>21325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1102040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249394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108784</v>
      </c>
      <c r="D3417" s="2" t="str">
        <f t="shared" si="52"/>
        <v>Error?</v>
      </c>
    </row>
    <row r="3418" spans="1:4" x14ac:dyDescent="0.2">
      <c r="A3418" s="10">
        <v>3357</v>
      </c>
      <c r="D3418" s="2" t="str">
        <f t="shared" si="52"/>
        <v>OK</v>
      </c>
    </row>
    <row r="3419" spans="1:4" x14ac:dyDescent="0.2">
      <c r="A3419" s="5">
        <v>3358</v>
      </c>
      <c r="B3419" s="138">
        <f>'Assets-Liab 5-6'!F4</f>
        <v>306870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33069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1728165</v>
      </c>
      <c r="D3425" s="2" t="str">
        <f t="shared" si="52"/>
        <v>Error?</v>
      </c>
    </row>
    <row r="3426" spans="1:4" x14ac:dyDescent="0.2">
      <c r="A3426" s="10">
        <v>3365</v>
      </c>
      <c r="D3426" s="2" t="str">
        <f t="shared" si="52"/>
        <v>OK</v>
      </c>
    </row>
    <row r="3427" spans="1:4" x14ac:dyDescent="0.2">
      <c r="A3427" s="5">
        <v>3366</v>
      </c>
      <c r="B3427" s="138">
        <f>'Assets-Liab 5-6'!I4</f>
        <v>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120276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72196</v>
      </c>
      <c r="C3446" s="2" t="s">
        <v>573</v>
      </c>
      <c r="D3446" s="2" t="str">
        <f t="shared" si="52"/>
        <v>Error?</v>
      </c>
    </row>
    <row r="3447" spans="1:4" x14ac:dyDescent="0.2">
      <c r="A3447" s="5">
        <v>3386</v>
      </c>
      <c r="B3447" s="138">
        <f>'Tax Sched 23'!D16</f>
        <v>72196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76842</v>
      </c>
      <c r="C3449" s="2" t="s">
        <v>573</v>
      </c>
      <c r="D3449" s="2" t="str">
        <f t="shared" si="52"/>
        <v>Error?</v>
      </c>
    </row>
    <row r="3450" spans="1:4" x14ac:dyDescent="0.2">
      <c r="A3450" s="5">
        <v>3389</v>
      </c>
      <c r="B3450" s="138">
        <f>'Tax Sched 23'!E16</f>
        <v>76842</v>
      </c>
      <c r="D3450" s="2" t="str">
        <f t="shared" si="52"/>
        <v>Error?</v>
      </c>
    </row>
    <row r="3451" spans="1:4" x14ac:dyDescent="0.2">
      <c r="A3451" s="5">
        <v>3390</v>
      </c>
      <c r="B3451" s="138">
        <f>'Cap Outlay Deprec 26'!C15</f>
        <v>11108</v>
      </c>
      <c r="D3451" s="2" t="str">
        <f t="shared" si="52"/>
        <v>Error?</v>
      </c>
    </row>
    <row r="3452" spans="1:4" x14ac:dyDescent="0.2">
      <c r="A3452" s="5">
        <v>3391</v>
      </c>
      <c r="B3452" s="138">
        <f>'Cap Outlay Deprec 26'!D15</f>
        <v>2140</v>
      </c>
      <c r="D3452" s="2" t="str">
        <f t="shared" si="52"/>
        <v>Error?</v>
      </c>
    </row>
    <row r="3453" spans="1:4" x14ac:dyDescent="0.2">
      <c r="A3453" s="5">
        <v>3392</v>
      </c>
      <c r="B3453" s="138">
        <f>'Cap Outlay Deprec 26'!E15</f>
        <v>11108</v>
      </c>
      <c r="D3453" s="2" t="str">
        <f t="shared" si="52"/>
        <v>Error?</v>
      </c>
    </row>
    <row r="3454" spans="1:4" x14ac:dyDescent="0.2">
      <c r="A3454" s="5">
        <v>3393</v>
      </c>
      <c r="B3454" s="138">
        <f>'Cap Outlay Deprec 26'!F15</f>
        <v>2140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2140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1095283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1095283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1030113</v>
      </c>
      <c r="D3566" s="2" t="str">
        <f t="shared" si="54"/>
        <v>Error?</v>
      </c>
    </row>
    <row r="3567" spans="1:4" x14ac:dyDescent="0.2">
      <c r="A3567" s="5">
        <v>3506</v>
      </c>
      <c r="B3567" s="138">
        <f>'Assets-Liab 5-6'!K39</f>
        <v>65170</v>
      </c>
      <c r="D3567" s="2" t="str">
        <f t="shared" si="54"/>
        <v>Error?</v>
      </c>
    </row>
    <row r="3568" spans="1:4" x14ac:dyDescent="0.2">
      <c r="A3568" s="5">
        <v>3507</v>
      </c>
      <c r="B3568" s="138">
        <f>'Assets-Liab 5-6'!K41</f>
        <v>1095283</v>
      </c>
      <c r="C3568" s="2" t="s">
        <v>573</v>
      </c>
      <c r="D3568" s="2" t="str">
        <f t="shared" si="54"/>
        <v>Error?</v>
      </c>
    </row>
    <row r="3569" spans="1:4" x14ac:dyDescent="0.2">
      <c r="A3569" s="5">
        <v>3508</v>
      </c>
      <c r="B3569" s="138">
        <f>'Acct Summary 7-8'!K4</f>
        <v>13143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13143</v>
      </c>
      <c r="C3571" s="2" t="s">
        <v>573</v>
      </c>
      <c r="D3571" s="2" t="str">
        <f t="shared" si="54"/>
        <v>Error?</v>
      </c>
    </row>
    <row r="3572" spans="1:4" x14ac:dyDescent="0.2">
      <c r="A3572" s="5">
        <v>3511</v>
      </c>
      <c r="B3572" s="138">
        <f>'Acct Summary 7-8'!K13</f>
        <v>1713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1713</v>
      </c>
      <c r="C3575" s="2" t="s">
        <v>573</v>
      </c>
      <c r="D3575" s="2" t="str">
        <f t="shared" si="54"/>
        <v>Error?</v>
      </c>
    </row>
    <row r="3576" spans="1:4" x14ac:dyDescent="0.2">
      <c r="A3576" s="5">
        <v>3515</v>
      </c>
      <c r="B3576" s="138">
        <f>'Acct Summary 7-8'!K20</f>
        <v>11430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1020000</v>
      </c>
      <c r="D3579" s="2" t="str">
        <f t="shared" si="54"/>
        <v>Error?</v>
      </c>
    </row>
    <row r="3580" spans="1:4" x14ac:dyDescent="0.2">
      <c r="A3580" s="5">
        <v>3519</v>
      </c>
      <c r="B3580" s="138">
        <f>'Acct Summary 7-8'!K34</f>
        <v>53761</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1073761</v>
      </c>
      <c r="C3584" s="2" t="s">
        <v>573</v>
      </c>
      <c r="D3584" s="2" t="str">
        <f t="shared" si="55"/>
        <v>Error?</v>
      </c>
    </row>
    <row r="3585" spans="1:4" x14ac:dyDescent="0.2">
      <c r="A3585" s="12">
        <v>3524</v>
      </c>
      <c r="B3585" s="138">
        <f>'Acct Summary 7-8'!K75</f>
        <v>43648</v>
      </c>
      <c r="D3585" s="2" t="str">
        <f t="shared" si="55"/>
        <v>Error?</v>
      </c>
    </row>
    <row r="3586" spans="1:4" x14ac:dyDescent="0.2">
      <c r="A3586" s="5">
        <v>3525</v>
      </c>
      <c r="B3586" s="138">
        <f>'Acct Summary 7-8'!K76</f>
        <v>43648</v>
      </c>
      <c r="C3586" s="2" t="s">
        <v>573</v>
      </c>
      <c r="D3586" s="2" t="str">
        <f t="shared" si="55"/>
        <v>Error?</v>
      </c>
    </row>
    <row r="3587" spans="1:4" x14ac:dyDescent="0.2">
      <c r="A3587" s="5">
        <v>3526</v>
      </c>
      <c r="B3587" s="138">
        <f>'Acct Summary 7-8'!K77</f>
        <v>1030113</v>
      </c>
      <c r="C3587" s="2" t="s">
        <v>573</v>
      </c>
      <c r="D3587" s="2" t="str">
        <f t="shared" si="55"/>
        <v>Error?</v>
      </c>
    </row>
    <row r="3588" spans="1:4" x14ac:dyDescent="0.2">
      <c r="A3588" s="5">
        <v>3527</v>
      </c>
      <c r="B3588" s="138">
        <f>'Acct Summary 7-8'!K78</f>
        <v>1041543</v>
      </c>
      <c r="C3588" s="2" t="s">
        <v>573</v>
      </c>
      <c r="D3588" s="2" t="str">
        <f t="shared" si="55"/>
        <v>Error?</v>
      </c>
    </row>
    <row r="3589" spans="1:4" x14ac:dyDescent="0.2">
      <c r="A3589" s="5">
        <v>3528</v>
      </c>
      <c r="B3589" s="138">
        <f>'Acct Summary 7-8'!K79</f>
        <v>53740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1095283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1713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1713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1713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1713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1713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1713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1713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11430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12764</v>
      </c>
      <c r="C3725" s="2" t="s">
        <v>573</v>
      </c>
      <c r="D3725" s="2" t="str">
        <f t="shared" si="57"/>
        <v>Error?</v>
      </c>
    </row>
    <row r="3726" spans="1:4" x14ac:dyDescent="0.2">
      <c r="A3726" s="5">
        <v>3665</v>
      </c>
      <c r="B3726" s="138">
        <f>'Tax Sched 23'!D13</f>
        <v>12764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12162</v>
      </c>
      <c r="C3728" s="2" t="s">
        <v>573</v>
      </c>
      <c r="D3728" s="2" t="str">
        <f t="shared" si="57"/>
        <v>Error?</v>
      </c>
    </row>
    <row r="3729" spans="1:4" x14ac:dyDescent="0.2">
      <c r="A3729" s="5">
        <v>3668</v>
      </c>
      <c r="B3729" s="138">
        <f>'Tax Sched 23'!E13</f>
        <v>12162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1761435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6644038</v>
      </c>
      <c r="C4122" s="2" t="s">
        <v>573</v>
      </c>
      <c r="D4122" s="2" t="str">
        <f t="shared" si="63"/>
        <v>Error?</v>
      </c>
    </row>
    <row r="4123" spans="1:4" x14ac:dyDescent="0.2">
      <c r="A4123" s="5">
        <v>4062</v>
      </c>
      <c r="B4123" s="138">
        <f>'Acct Summary 7-8'!D10</f>
        <v>406648</v>
      </c>
      <c r="C4123" s="2" t="s">
        <v>573</v>
      </c>
      <c r="D4123" s="2" t="str">
        <f t="shared" si="63"/>
        <v>Error?</v>
      </c>
    </row>
    <row r="4124" spans="1:4" x14ac:dyDescent="0.2">
      <c r="A4124" s="5">
        <v>4063</v>
      </c>
      <c r="B4124" s="138">
        <f>'Acct Summary 7-8'!E10</f>
        <v>165517</v>
      </c>
      <c r="C4124" s="2" t="s">
        <v>573</v>
      </c>
      <c r="D4124" s="2" t="str">
        <f t="shared" si="63"/>
        <v>Error?</v>
      </c>
    </row>
    <row r="4125" spans="1:4" x14ac:dyDescent="0.2">
      <c r="A4125" s="5">
        <v>4064</v>
      </c>
      <c r="B4125" s="138">
        <f>'Acct Summary 7-8'!F10</f>
        <v>348382</v>
      </c>
      <c r="C4125" s="2" t="s">
        <v>573</v>
      </c>
      <c r="D4125" s="2" t="str">
        <f t="shared" si="63"/>
        <v>Error?</v>
      </c>
    </row>
    <row r="4126" spans="1:4" x14ac:dyDescent="0.2">
      <c r="A4126" s="5">
        <v>4065</v>
      </c>
      <c r="B4126" s="138">
        <f>'Acct Summary 7-8'!G10</f>
        <v>216174</v>
      </c>
      <c r="C4126" s="2" t="s">
        <v>573</v>
      </c>
      <c r="D4126" s="2" t="str">
        <f t="shared" si="63"/>
        <v>Error?</v>
      </c>
    </row>
    <row r="4127" spans="1:4" x14ac:dyDescent="0.2">
      <c r="A4127" s="5">
        <v>4066</v>
      </c>
      <c r="B4127" s="138">
        <f>'Acct Summary 7-8'!H10</f>
        <v>187628</v>
      </c>
      <c r="C4127" s="2" t="s">
        <v>573</v>
      </c>
      <c r="D4127" s="2" t="str">
        <f t="shared" si="63"/>
        <v>Error?</v>
      </c>
    </row>
    <row r="4128" spans="1:4" x14ac:dyDescent="0.2">
      <c r="A4128" s="5">
        <v>4067</v>
      </c>
      <c r="B4128" s="138">
        <f>'Acct Summary 7-8'!I10</f>
        <v>13327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13143</v>
      </c>
      <c r="C4130" s="2" t="s">
        <v>573</v>
      </c>
      <c r="D4130" s="2" t="str">
        <f t="shared" si="63"/>
        <v>Error?</v>
      </c>
    </row>
    <row r="4131" spans="1:4" x14ac:dyDescent="0.2">
      <c r="A4131" s="5">
        <v>4070</v>
      </c>
      <c r="B4131" s="138">
        <f>'Acct Summary 7-8'!C18</f>
        <v>1761435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6571826</v>
      </c>
      <c r="C4136" s="2" t="s">
        <v>573</v>
      </c>
      <c r="D4136" s="2" t="str">
        <f t="shared" si="63"/>
        <v>Error?</v>
      </c>
    </row>
    <row r="4137" spans="1:4" x14ac:dyDescent="0.2">
      <c r="A4137" s="5">
        <v>4076</v>
      </c>
      <c r="B4137" s="138">
        <f>'Acct Summary 7-8'!D19</f>
        <v>406184</v>
      </c>
      <c r="C4137" s="2" t="s">
        <v>573</v>
      </c>
      <c r="D4137" s="2" t="str">
        <f t="shared" si="63"/>
        <v>Error?</v>
      </c>
    </row>
    <row r="4138" spans="1:4" x14ac:dyDescent="0.2">
      <c r="A4138" s="5">
        <v>4077</v>
      </c>
      <c r="B4138" s="138">
        <f>'Acct Summary 7-8'!E19</f>
        <v>220074</v>
      </c>
      <c r="C4138" s="2" t="s">
        <v>573</v>
      </c>
      <c r="D4138" s="2" t="str">
        <f t="shared" si="63"/>
        <v>Error?</v>
      </c>
    </row>
    <row r="4139" spans="1:4" x14ac:dyDescent="0.2">
      <c r="A4139" s="5">
        <v>4078</v>
      </c>
      <c r="B4139" s="138">
        <f>'Acct Summary 7-8'!F19</f>
        <v>347455</v>
      </c>
      <c r="C4139" s="2" t="s">
        <v>573</v>
      </c>
      <c r="D4139" s="2" t="str">
        <f t="shared" si="63"/>
        <v>Error?</v>
      </c>
    </row>
    <row r="4140" spans="1:4" x14ac:dyDescent="0.2">
      <c r="A4140" s="5">
        <v>4079</v>
      </c>
      <c r="B4140" s="138">
        <f>'Acct Summary 7-8'!G19</f>
        <v>193999</v>
      </c>
      <c r="C4140" s="2" t="s">
        <v>573</v>
      </c>
      <c r="D4140" s="2" t="str">
        <f t="shared" si="63"/>
        <v>Error?</v>
      </c>
    </row>
    <row r="4141" spans="1:4" x14ac:dyDescent="0.2">
      <c r="A4141" s="5">
        <v>4080</v>
      </c>
      <c r="B4141" s="138">
        <f>'Acct Summary 7-8'!H19</f>
        <v>237350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1713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3999005</v>
      </c>
      <c r="C4171" s="2" t="s">
        <v>573</v>
      </c>
      <c r="D4171" s="2" t="str">
        <f t="shared" si="64"/>
        <v>Error?</v>
      </c>
    </row>
    <row r="4172" spans="1:4" x14ac:dyDescent="0.2">
      <c r="A4172" s="5">
        <v>4111</v>
      </c>
      <c r="B4172" s="138">
        <f>'Short-Term Long-Term Debt 24'!J49</f>
        <v>3890221</v>
      </c>
      <c r="C4172" s="2" t="s">
        <v>573</v>
      </c>
      <c r="D4172" s="2" t="str">
        <f t="shared" si="64"/>
        <v>Error?</v>
      </c>
    </row>
    <row r="4173" spans="1:4" x14ac:dyDescent="0.2">
      <c r="A4173" s="5">
        <v>4112</v>
      </c>
      <c r="B4173" s="138">
        <f>'Short-Term Long-Term Debt 24'!H49</f>
        <v>238234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2100.27</v>
      </c>
      <c r="C4265" s="2" t="s">
        <v>573</v>
      </c>
      <c r="D4265" s="2" t="str">
        <f t="shared" si="65"/>
        <v>Error?</v>
      </c>
      <c r="E4265" s="128"/>
    </row>
    <row r="4266" spans="1:5" x14ac:dyDescent="0.2">
      <c r="A4266" s="12">
        <v>4205</v>
      </c>
      <c r="B4266" s="138">
        <f>('FP Info 3'!F10)*100000</f>
        <v>435.97999999999996</v>
      </c>
      <c r="C4266" s="2" t="s">
        <v>573</v>
      </c>
      <c r="D4266" s="2" t="str">
        <f t="shared" si="65"/>
        <v>Error?</v>
      </c>
      <c r="E4266" s="128"/>
    </row>
    <row r="4267" spans="1:5" x14ac:dyDescent="0.2">
      <c r="A4267" s="12">
        <v>4206</v>
      </c>
      <c r="B4267" s="138">
        <f>('FP Info 3'!H10)*100000</f>
        <v>185</v>
      </c>
      <c r="C4267" s="2" t="s">
        <v>573</v>
      </c>
      <c r="D4267" s="2" t="str">
        <f t="shared" si="65"/>
        <v>Error?</v>
      </c>
      <c r="E4267" s="128"/>
    </row>
    <row r="4268" spans="1:5" x14ac:dyDescent="0.2">
      <c r="A4268" s="12">
        <v>4207</v>
      </c>
      <c r="B4268" s="138">
        <f>('FP Info 3'!J10)*100000</f>
        <v>2721</v>
      </c>
      <c r="C4268" s="2" t="s">
        <v>573</v>
      </c>
      <c r="D4268" s="2" t="str">
        <f t="shared" si="65"/>
        <v>Error?</v>
      </c>
    </row>
    <row r="4269" spans="1:5" x14ac:dyDescent="0.2">
      <c r="A4269" s="12">
        <v>4208</v>
      </c>
      <c r="B4269" s="138">
        <f>'FP Info 3'!J16</f>
        <v>2035109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10721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22474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15153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15153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14.909999999999998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777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70710874</v>
      </c>
      <c r="D4995" s="2" t="str">
        <f t="shared" si="77"/>
        <v>Error?</v>
      </c>
    </row>
    <row r="4996" spans="1:4" x14ac:dyDescent="0.2">
      <c r="A4996" s="12">
        <v>4935</v>
      </c>
      <c r="B4996" s="138">
        <f>'FP Info 3'!H31</f>
        <v>9758100.6120000016</v>
      </c>
      <c r="D4996" s="2" t="str">
        <f t="shared" si="77"/>
        <v>Error?</v>
      </c>
    </row>
    <row r="4997" spans="1:4" x14ac:dyDescent="0.2">
      <c r="A4997" s="12">
        <v>4936</v>
      </c>
      <c r="B4997" s="138">
        <f>'FP Info 3'!H37</f>
        <v>3999005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12764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1437010</v>
      </c>
      <c r="D5061" s="2" t="str">
        <f t="shared" si="78"/>
        <v>Error?</v>
      </c>
    </row>
    <row r="5062" spans="1:4" x14ac:dyDescent="0.2">
      <c r="A5062" s="10">
        <v>5001</v>
      </c>
      <c r="D5062" s="2" t="str">
        <f t="shared" si="78"/>
        <v>OK</v>
      </c>
    </row>
    <row r="5063" spans="1:4" x14ac:dyDescent="0.2">
      <c r="A5063" s="5">
        <v>5002</v>
      </c>
      <c r="B5063" s="138">
        <f>'Revenues 9-14'!C7</f>
        <v>12764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1462538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1085</v>
      </c>
      <c r="C5087" s="2" t="s">
        <v>573</v>
      </c>
      <c r="D5087" s="2" t="str">
        <f t="shared" si="78"/>
        <v>Error?</v>
      </c>
    </row>
    <row r="5088" spans="1:4" x14ac:dyDescent="0.2">
      <c r="A5088" s="5">
        <v>5027</v>
      </c>
      <c r="B5088" s="138">
        <f>'Revenues 9-14'!C65</f>
        <v>4687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4687</v>
      </c>
      <c r="C5090" s="2" t="s">
        <v>573</v>
      </c>
      <c r="D5090" s="2" t="str">
        <f t="shared" si="78"/>
        <v>Error?</v>
      </c>
    </row>
    <row r="5091" spans="1:4" x14ac:dyDescent="0.2">
      <c r="A5091" s="5">
        <v>5030</v>
      </c>
      <c r="B5091" s="138">
        <f>'Revenues 9-14'!C70</f>
        <v>23</v>
      </c>
      <c r="D5091" s="2" t="str">
        <f t="shared" si="78"/>
        <v>Error?</v>
      </c>
    </row>
    <row r="5092" spans="1:4" x14ac:dyDescent="0.2">
      <c r="A5092" s="5">
        <v>5031</v>
      </c>
      <c r="B5092" s="138">
        <f>'Revenues 9-14'!C71</f>
        <v>2547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2900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5705</v>
      </c>
      <c r="C5096" s="2" t="s">
        <v>573</v>
      </c>
      <c r="D5096" s="2" t="str">
        <f t="shared" si="78"/>
        <v>Error?</v>
      </c>
    </row>
    <row r="5097" spans="1:4" x14ac:dyDescent="0.2">
      <c r="A5097" s="5">
        <v>5036</v>
      </c>
      <c r="B5097" s="138">
        <f>'Revenues 9-14'!C77</f>
        <v>27017</v>
      </c>
      <c r="D5097" s="2" t="str">
        <f t="shared" si="78"/>
        <v>Error?</v>
      </c>
    </row>
    <row r="5098" spans="1:4" x14ac:dyDescent="0.2">
      <c r="A5098" s="5">
        <v>5037</v>
      </c>
      <c r="B5098" s="138">
        <f>'Revenues 9-14'!C78</f>
        <v>1660</v>
      </c>
      <c r="D5098" s="2" t="str">
        <f t="shared" si="78"/>
        <v>Error?</v>
      </c>
    </row>
    <row r="5099" spans="1:4" x14ac:dyDescent="0.2">
      <c r="A5099" s="5">
        <v>5038</v>
      </c>
      <c r="B5099" s="138">
        <f>'Revenues 9-14'!C79</f>
        <v>20700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58759</v>
      </c>
      <c r="D5101" s="2" t="str">
        <f t="shared" si="78"/>
        <v>Error?</v>
      </c>
    </row>
    <row r="5102" spans="1:4" x14ac:dyDescent="0.2">
      <c r="A5102" s="5">
        <v>5041</v>
      </c>
      <c r="B5102" s="138">
        <f>'Revenues 9-14'!C82</f>
        <v>108136</v>
      </c>
      <c r="C5102" s="2" t="s">
        <v>573</v>
      </c>
      <c r="D5102" s="2" t="str">
        <f t="shared" si="78"/>
        <v>Error?</v>
      </c>
    </row>
    <row r="5103" spans="1:4" x14ac:dyDescent="0.2">
      <c r="A5103" s="5">
        <v>5042</v>
      </c>
      <c r="B5103" s="138">
        <f>'Revenues 9-14'!C84</f>
        <v>19544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19544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13766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6045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10089</v>
      </c>
      <c r="D5119" s="2" t="str">
        <f t="shared" ref="D5119:D5182" si="79">IF(ISBLANK(B5119),"OK",IF(A5119-B5119=0,"OK","Error?"))</f>
        <v>Error?</v>
      </c>
    </row>
    <row r="5120" spans="1:4" x14ac:dyDescent="0.2">
      <c r="A5120" s="5">
        <v>5059</v>
      </c>
      <c r="B5120" s="138">
        <f>'Revenues 9-14'!C108</f>
        <v>39538</v>
      </c>
      <c r="C5120" s="2" t="s">
        <v>573</v>
      </c>
      <c r="D5120" s="2" t="str">
        <f t="shared" si="79"/>
        <v>Error?</v>
      </c>
    </row>
    <row r="5121" spans="1:4" x14ac:dyDescent="0.2">
      <c r="A5121" s="5">
        <v>5060</v>
      </c>
      <c r="B5121" s="138">
        <f>'Revenues 9-14'!C109</f>
        <v>1641233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2111014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2111014</v>
      </c>
      <c r="C5132" s="2" t="s">
        <v>573</v>
      </c>
      <c r="D5132" s="2" t="str">
        <f t="shared" si="79"/>
        <v>Error?</v>
      </c>
    </row>
    <row r="5133" spans="1:4" x14ac:dyDescent="0.2">
      <c r="A5133" s="5">
        <v>5072</v>
      </c>
      <c r="B5133" s="138">
        <f>'Revenues 9-14'!C125</f>
        <v>12089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18440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30529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19670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35110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3852</v>
      </c>
      <c r="D5167" s="2" t="str">
        <f t="shared" si="79"/>
        <v>Error?</v>
      </c>
    </row>
    <row r="5168" spans="1:4" x14ac:dyDescent="0.2">
      <c r="A5168" s="5">
        <v>5107</v>
      </c>
      <c r="B5168" s="138">
        <f>'Revenues 9-14'!C148</f>
        <v>9736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513909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593886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2704900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150209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48064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198273</v>
      </c>
      <c r="C5246" s="2" t="s">
        <v>573</v>
      </c>
      <c r="D5246" s="2" t="str">
        <f t="shared" si="80"/>
        <v>Error?</v>
      </c>
    </row>
    <row r="5247" spans="1:4" x14ac:dyDescent="0.2">
      <c r="A5247" s="5">
        <v>5186</v>
      </c>
      <c r="B5247" s="138">
        <f>'Revenues 9-14'!C200</f>
        <v>151187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151187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510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11879</v>
      </c>
      <c r="D5278" s="2" t="str">
        <f t="shared" si="81"/>
        <v>Error?</v>
      </c>
    </row>
    <row r="5279" spans="1:4" x14ac:dyDescent="0.2">
      <c r="A5279" s="5">
        <v>5218</v>
      </c>
      <c r="B5279" s="138">
        <f>'Revenues 9-14'!C214</f>
        <v>120291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132680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5897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5897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536470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536470</v>
      </c>
      <c r="C5326" s="2" t="s">
        <v>573</v>
      </c>
      <c r="D5326" s="2" t="str">
        <f t="shared" si="82"/>
        <v>Error?</v>
      </c>
    </row>
    <row r="5327" spans="1:5" x14ac:dyDescent="0.2">
      <c r="A5327" s="5">
        <v>5266</v>
      </c>
      <c r="B5327" s="138">
        <f>'Revenues 9-14'!C268</f>
        <v>4882603</v>
      </c>
      <c r="C5327" s="2" t="s">
        <v>573</v>
      </c>
      <c r="D5327" s="2" t="str">
        <f t="shared" si="82"/>
        <v>Error?</v>
      </c>
    </row>
    <row r="5328" spans="1:5" x14ac:dyDescent="0.2">
      <c r="A5328" s="5">
        <v>5267</v>
      </c>
      <c r="B5328" s="138">
        <f>'Revenues 9-14'!D5</f>
        <v>296801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296801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44732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44732</v>
      </c>
      <c r="C5339" s="2" t="s">
        <v>573</v>
      </c>
      <c r="D5339" s="2" t="str">
        <f t="shared" si="82"/>
        <v>Error?</v>
      </c>
    </row>
    <row r="5340" spans="1:4" x14ac:dyDescent="0.2">
      <c r="A5340" s="5">
        <v>5279</v>
      </c>
      <c r="B5340" s="138">
        <f>'Revenues 9-14'!D65</f>
        <v>1075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1075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1661</v>
      </c>
      <c r="D5347" s="2" t="str">
        <f t="shared" si="82"/>
        <v>Error?</v>
      </c>
    </row>
    <row r="5348" spans="1:4" x14ac:dyDescent="0.2">
      <c r="A5348" s="5">
        <v>5287</v>
      </c>
      <c r="B5348" s="138">
        <f>'Revenues 9-14'!D82</f>
        <v>1661</v>
      </c>
      <c r="C5348" s="2" t="s">
        <v>573</v>
      </c>
      <c r="D5348" s="2" t="str">
        <f t="shared" si="82"/>
        <v>Error?</v>
      </c>
    </row>
    <row r="5349" spans="1:4" x14ac:dyDescent="0.2">
      <c r="A5349" s="5">
        <v>5288</v>
      </c>
      <c r="B5349" s="138">
        <f>'Revenues 9-14'!D95</f>
        <v>800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1338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241</v>
      </c>
      <c r="D5354" s="2" t="str">
        <f t="shared" si="82"/>
        <v>Error?</v>
      </c>
    </row>
    <row r="5355" spans="1:4" x14ac:dyDescent="0.2">
      <c r="A5355" s="5">
        <v>5294</v>
      </c>
      <c r="B5355" s="138">
        <f>'Revenues 9-14'!D108</f>
        <v>2379</v>
      </c>
      <c r="C5355" s="2" t="s">
        <v>573</v>
      </c>
      <c r="D5355" s="2" t="str">
        <f t="shared" si="82"/>
        <v>Error?</v>
      </c>
    </row>
    <row r="5356" spans="1:4" x14ac:dyDescent="0.2">
      <c r="A5356" s="5">
        <v>5295</v>
      </c>
      <c r="B5356" s="138">
        <f>'Revenues 9-14'!D109</f>
        <v>346648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60000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60000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60000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406648</v>
      </c>
      <c r="C5508" s="2" t="s">
        <v>573</v>
      </c>
      <c r="D5508" s="2" t="str">
        <f t="shared" si="85"/>
        <v>Error?</v>
      </c>
    </row>
    <row r="5509" spans="1:4" x14ac:dyDescent="0.2">
      <c r="A5509" s="5">
        <v>5448</v>
      </c>
      <c r="B5509" s="138">
        <f>'Revenues 9-14'!E5</f>
        <v>165501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165501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165517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165517</v>
      </c>
      <c r="C5552" s="2" t="s">
        <v>573</v>
      </c>
      <c r="D5552" s="2" t="str">
        <f t="shared" si="85"/>
        <v>Error?</v>
      </c>
    </row>
    <row r="5553" spans="1:4" x14ac:dyDescent="0.2">
      <c r="A5553" s="5">
        <v>5492</v>
      </c>
      <c r="B5553" s="138">
        <f>'Revenues 9-14'!F5</f>
        <v>125942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125942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24975</v>
      </c>
      <c r="D5565" s="2" t="str">
        <f t="shared" si="85"/>
        <v>Error?</v>
      </c>
    </row>
    <row r="5566" spans="1:4" x14ac:dyDescent="0.2">
      <c r="A5566" s="5">
        <v>5505</v>
      </c>
      <c r="B5566" s="138">
        <f>'Revenues 9-14'!F45</f>
        <v>7215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7693</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39883</v>
      </c>
      <c r="C5579" s="2" t="s">
        <v>573</v>
      </c>
      <c r="D5579" s="2" t="str">
        <f t="shared" si="86"/>
        <v>Error?</v>
      </c>
    </row>
    <row r="5580" spans="1:4" x14ac:dyDescent="0.2">
      <c r="A5580" s="5">
        <v>5519</v>
      </c>
      <c r="B5580" s="138">
        <f>'Revenues 9-14'!F65</f>
        <v>1267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1267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1128</v>
      </c>
      <c r="D5586" s="2" t="str">
        <f t="shared" si="86"/>
        <v>Error?</v>
      </c>
    </row>
    <row r="5587" spans="1:4" x14ac:dyDescent="0.2">
      <c r="A5587" s="5">
        <v>5526</v>
      </c>
      <c r="B5587" s="138">
        <f>'Revenues 9-14'!F108</f>
        <v>1128</v>
      </c>
      <c r="C5587" s="2" t="s">
        <v>573</v>
      </c>
      <c r="D5587" s="2" t="str">
        <f t="shared" si="86"/>
        <v>Error?</v>
      </c>
    </row>
    <row r="5588" spans="1:4" x14ac:dyDescent="0.2">
      <c r="A5588" s="5">
        <v>5527</v>
      </c>
      <c r="B5588" s="138">
        <f>'Revenues 9-14'!F109</f>
        <v>168220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99882</v>
      </c>
      <c r="D5615" s="2" t="str">
        <f t="shared" si="86"/>
        <v>Error?</v>
      </c>
    </row>
    <row r="5616" spans="1:4" x14ac:dyDescent="0.2">
      <c r="A5616" s="10">
        <v>5555</v>
      </c>
      <c r="D5616" s="2" t="str">
        <f t="shared" si="86"/>
        <v>OK</v>
      </c>
    </row>
    <row r="5617" spans="1:5" x14ac:dyDescent="0.2">
      <c r="A5617" s="5">
        <v>5556</v>
      </c>
      <c r="B5617" s="138">
        <f>'Revenues 9-14'!F153</f>
        <v>80280</v>
      </c>
      <c r="D5617" s="2" t="str">
        <f t="shared" si="86"/>
        <v>Error?</v>
      </c>
    </row>
    <row r="5618" spans="1:5" x14ac:dyDescent="0.2">
      <c r="A5618" s="5">
        <v>5557</v>
      </c>
      <c r="B5618" s="138">
        <f>'Revenues 9-14'!F155</f>
        <v>180162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180162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180162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348382</v>
      </c>
      <c r="C5720" s="2" t="s">
        <v>573</v>
      </c>
      <c r="D5720" s="2" t="str">
        <f t="shared" si="88"/>
        <v>Error?</v>
      </c>
    </row>
    <row r="5721" spans="1:4" x14ac:dyDescent="0.2">
      <c r="A5721" s="5">
        <v>5660</v>
      </c>
      <c r="B5721" s="138">
        <f>'Revenues 9-14'!G5</f>
        <v>78711</v>
      </c>
      <c r="D5721" s="2" t="str">
        <f t="shared" si="88"/>
        <v>Error?</v>
      </c>
    </row>
    <row r="5722" spans="1:4" x14ac:dyDescent="0.2">
      <c r="A5722" s="5">
        <v>5661</v>
      </c>
      <c r="B5722" s="138">
        <f>'Revenues 9-14'!G7</f>
        <v>0</v>
      </c>
      <c r="D5722" s="2" t="str">
        <f t="shared" si="88"/>
        <v>Error?</v>
      </c>
    </row>
    <row r="5723" spans="1:4" x14ac:dyDescent="0.2">
      <c r="A5723" s="5">
        <v>5662</v>
      </c>
      <c r="B5723" s="138">
        <f>'Revenues 9-14'!G8</f>
        <v>72196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150907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55000</v>
      </c>
      <c r="C5730" s="2" t="s">
        <v>573</v>
      </c>
      <c r="D5730" s="2" t="str">
        <f t="shared" si="88"/>
        <v>Error?</v>
      </c>
    </row>
    <row r="5731" spans="1:4" x14ac:dyDescent="0.2">
      <c r="A5731" s="5">
        <v>5670</v>
      </c>
      <c r="B5731" s="138">
        <f>'Revenues 9-14'!G65</f>
        <v>267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10000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10000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216174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939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939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186689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187628</v>
      </c>
      <c r="C5915" s="2" t="s">
        <v>573</v>
      </c>
      <c r="D5915" s="2" t="str">
        <f t="shared" si="91"/>
        <v>Error?</v>
      </c>
    </row>
    <row r="5916" spans="1:4" x14ac:dyDescent="0.2">
      <c r="A5916" s="5">
        <v>5855</v>
      </c>
      <c r="B5916" s="138">
        <f>'Revenues 9-14'!I5</f>
        <v>12764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12764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13327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12764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12764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13143</v>
      </c>
      <c r="C6023" s="2" t="s">
        <v>573</v>
      </c>
      <c r="D6023" s="2" t="str">
        <f t="shared" si="93"/>
        <v>Error?</v>
      </c>
    </row>
    <row r="6024" spans="1:5" x14ac:dyDescent="0.2">
      <c r="A6024" s="5">
        <v>5963</v>
      </c>
      <c r="B6024" s="138">
        <f>'Revenues 9-14'!G109</f>
        <v>206174</v>
      </c>
      <c r="C6024" s="2" t="s">
        <v>573</v>
      </c>
      <c r="D6024" s="2" t="str">
        <f t="shared" si="93"/>
        <v>Error?</v>
      </c>
    </row>
    <row r="6025" spans="1:5" x14ac:dyDescent="0.2">
      <c r="A6025" s="5">
        <v>5964</v>
      </c>
      <c r="B6025" s="138">
        <f>'Revenues 9-14'!H109</f>
        <v>187628</v>
      </c>
      <c r="C6025" s="2" t="s">
        <v>573</v>
      </c>
      <c r="D6025" s="2" t="str">
        <f t="shared" si="93"/>
        <v>Error?</v>
      </c>
    </row>
    <row r="6026" spans="1:5" x14ac:dyDescent="0.2">
      <c r="A6026" s="5">
        <v>5965</v>
      </c>
      <c r="B6026" s="138">
        <f>'Revenues 9-14'!I109</f>
        <v>13327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13143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493.7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47150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47150</v>
      </c>
      <c r="D6215" s="2" t="str">
        <f t="shared" si="96"/>
        <v>Error?</v>
      </c>
      <c r="E6215" s="2" t="s">
        <v>190</v>
      </c>
    </row>
    <row r="6216" spans="1:5" x14ac:dyDescent="0.2">
      <c r="A6216">
        <v>6155</v>
      </c>
      <c r="B6216" s="138">
        <f>'Assets-Liab 5-6'!J41</f>
        <v>47150</v>
      </c>
      <c r="D6216" s="2" t="str">
        <f t="shared" si="96"/>
        <v>Error?</v>
      </c>
      <c r="E6216" s="2" t="s">
        <v>190</v>
      </c>
    </row>
    <row r="6217" spans="1:5" x14ac:dyDescent="0.2">
      <c r="A6217">
        <v>6156</v>
      </c>
      <c r="B6217" s="138">
        <f>'Assets-Liab 5-6'!J4</f>
        <v>47150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43669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43669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43669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33511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33511</v>
      </c>
      <c r="D6229" s="2" t="str">
        <f t="shared" si="96"/>
        <v>Error?</v>
      </c>
      <c r="E6229" s="2" t="s">
        <v>190</v>
      </c>
    </row>
    <row r="6230" spans="1:5" x14ac:dyDescent="0.2">
      <c r="A6230">
        <v>6169</v>
      </c>
      <c r="B6230" s="138">
        <f>'Acct Summary 7-8'!J20</f>
        <v>10158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10158</v>
      </c>
      <c r="D6263" s="2" t="str">
        <f t="shared" si="96"/>
        <v>Error?</v>
      </c>
      <c r="E6263" s="2" t="s">
        <v>190</v>
      </c>
    </row>
    <row r="6264" spans="1:5" x14ac:dyDescent="0.2">
      <c r="A6264">
        <v>6203</v>
      </c>
      <c r="B6264" s="138">
        <f>'Acct Summary 7-8'!J79</f>
        <v>36992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47150</v>
      </c>
      <c r="D6266" s="2" t="str">
        <f t="shared" si="96"/>
        <v>Error?</v>
      </c>
      <c r="E6266" s="2" t="s">
        <v>190</v>
      </c>
    </row>
    <row r="6267" spans="1:5" x14ac:dyDescent="0.2">
      <c r="A6267">
        <v>6206</v>
      </c>
      <c r="B6267" s="138">
        <f>'Acct Summary 7-8'!C82</f>
        <v>72212</v>
      </c>
      <c r="D6267" s="2" t="str">
        <f t="shared" si="96"/>
        <v>Error?</v>
      </c>
      <c r="E6267" s="2" t="s">
        <v>190</v>
      </c>
    </row>
    <row r="6268" spans="1:5" x14ac:dyDescent="0.2">
      <c r="A6268">
        <v>6207</v>
      </c>
      <c r="B6268" s="138">
        <f>'Acct Summary 7-8'!D82</f>
        <v>464</v>
      </c>
      <c r="D6268" s="2" t="str">
        <f t="shared" si="96"/>
        <v>Error?</v>
      </c>
      <c r="E6268" s="2" t="s">
        <v>190</v>
      </c>
    </row>
    <row r="6269" spans="1:5" x14ac:dyDescent="0.2">
      <c r="A6269">
        <v>6208</v>
      </c>
      <c r="B6269" s="138">
        <f>'Acct Summary 7-8'!E82</f>
        <v>79909</v>
      </c>
      <c r="D6269" s="2" t="str">
        <f t="shared" si="96"/>
        <v>Error?</v>
      </c>
      <c r="E6269" s="2" t="s">
        <v>190</v>
      </c>
    </row>
    <row r="6270" spans="1:5" x14ac:dyDescent="0.2">
      <c r="A6270">
        <v>6209</v>
      </c>
      <c r="B6270" s="138">
        <f>'Acct Summary 7-8'!F82</f>
        <v>927</v>
      </c>
      <c r="D6270" s="2" t="str">
        <f t="shared" si="96"/>
        <v>Error?</v>
      </c>
      <c r="E6270" s="2" t="s">
        <v>190</v>
      </c>
    </row>
    <row r="6271" spans="1:5" x14ac:dyDescent="0.2">
      <c r="A6271">
        <v>6210</v>
      </c>
      <c r="B6271" s="138">
        <f>'Acct Summary 7-8'!G82</f>
        <v>22175</v>
      </c>
      <c r="D6271" s="2" t="str">
        <f t="shared" ref="D6271:D6334" si="97">IF(ISBLANK(B6271),"OK",IF(A6271-B6271=0,"OK","Error?"))</f>
        <v>Error?</v>
      </c>
      <c r="E6271" s="2" t="s">
        <v>190</v>
      </c>
    </row>
    <row r="6272" spans="1:5" x14ac:dyDescent="0.2">
      <c r="A6272">
        <v>6211</v>
      </c>
      <c r="B6272" s="138">
        <f>'Acct Summary 7-8'!H82</f>
        <v>1418506</v>
      </c>
      <c r="D6272" s="2" t="str">
        <f t="shared" si="97"/>
        <v>Error?</v>
      </c>
      <c r="E6272" s="2" t="s">
        <v>190</v>
      </c>
    </row>
    <row r="6273" spans="1:5" x14ac:dyDescent="0.2">
      <c r="A6273">
        <v>6212</v>
      </c>
      <c r="B6273" s="138">
        <f>'Acct Summary 7-8'!I82</f>
        <v>13327</v>
      </c>
      <c r="D6273" s="2" t="str">
        <f t="shared" si="97"/>
        <v>Error?</v>
      </c>
      <c r="E6273" s="2" t="s">
        <v>190</v>
      </c>
    </row>
    <row r="6274" spans="1:5" x14ac:dyDescent="0.2">
      <c r="A6274">
        <v>6213</v>
      </c>
      <c r="B6274" s="138">
        <f>'Acct Summary 7-8'!J82</f>
        <v>10158</v>
      </c>
      <c r="D6274" s="2" t="str">
        <f t="shared" si="97"/>
        <v>Error?</v>
      </c>
      <c r="E6274" s="2" t="s">
        <v>190</v>
      </c>
    </row>
    <row r="6275" spans="1:5" x14ac:dyDescent="0.2">
      <c r="A6275">
        <v>6214</v>
      </c>
      <c r="B6275" s="138">
        <f>'Acct Summary 7-8'!K82</f>
        <v>1041543</v>
      </c>
      <c r="D6275" s="2" t="str">
        <f t="shared" si="97"/>
        <v>Error?</v>
      </c>
      <c r="E6275" s="2" t="s">
        <v>190</v>
      </c>
    </row>
    <row r="6276" spans="1:5" x14ac:dyDescent="0.2">
      <c r="A6276">
        <v>6215</v>
      </c>
      <c r="B6276" s="138">
        <f>'Acct Summary 7-8'!C83</f>
        <v>5.8190667671269306E-2</v>
      </c>
      <c r="D6276" s="2" t="str">
        <f t="shared" si="97"/>
        <v>Error?</v>
      </c>
      <c r="E6276" s="2" t="s">
        <v>190</v>
      </c>
    </row>
    <row r="6277" spans="1:5" x14ac:dyDescent="0.2">
      <c r="A6277">
        <v>6216</v>
      </c>
      <c r="B6277" s="138">
        <f>'Acct Summary 7-8'!D83</f>
        <v>1.8605098759392768E-3</v>
      </c>
      <c r="D6277" s="2" t="str">
        <f t="shared" si="97"/>
        <v>Error?</v>
      </c>
      <c r="E6277" s="2" t="s">
        <v>190</v>
      </c>
    </row>
    <row r="6278" spans="1:5" x14ac:dyDescent="0.2">
      <c r="A6278">
        <v>6217</v>
      </c>
      <c r="B6278" s="138">
        <f>'Acct Summary 7-8'!E83</f>
        <v>0.73456574496249449</v>
      </c>
      <c r="D6278" s="2" t="str">
        <f t="shared" si="97"/>
        <v>Error?</v>
      </c>
      <c r="E6278" s="2" t="s">
        <v>190</v>
      </c>
    </row>
    <row r="6279" spans="1:5" x14ac:dyDescent="0.2">
      <c r="A6279">
        <v>6218</v>
      </c>
      <c r="B6279" s="138">
        <f>'Acct Summary 7-8'!F83</f>
        <v>2.4333518831571102E-3</v>
      </c>
      <c r="D6279" s="2" t="str">
        <f t="shared" si="97"/>
        <v>Error?</v>
      </c>
      <c r="E6279" s="2" t="s">
        <v>190</v>
      </c>
    </row>
    <row r="6280" spans="1:5" x14ac:dyDescent="0.2">
      <c r="A6280">
        <v>6219</v>
      </c>
      <c r="B6280" s="138">
        <f>'Acct Summary 7-8'!G83</f>
        <v>0.6705676010765369</v>
      </c>
      <c r="D6280" s="2" t="str">
        <f t="shared" si="97"/>
        <v>Error?</v>
      </c>
      <c r="E6280" s="2" t="s">
        <v>190</v>
      </c>
    </row>
    <row r="6281" spans="1:5" x14ac:dyDescent="0.2">
      <c r="A6281">
        <v>6220</v>
      </c>
      <c r="B6281" s="138">
        <f>'Acct Summary 7-8'!H83</f>
        <v>0.82081629936956246</v>
      </c>
      <c r="D6281" s="2" t="str">
        <f t="shared" si="97"/>
        <v>Error?</v>
      </c>
      <c r="E6281" s="2" t="s">
        <v>190</v>
      </c>
    </row>
    <row r="6282" spans="1:5" x14ac:dyDescent="0.2">
      <c r="A6282">
        <v>6221</v>
      </c>
      <c r="B6282" s="138">
        <f>'Acct Summary 7-8'!I83</f>
        <v>8.1359429562159649E-2</v>
      </c>
      <c r="D6282" s="2" t="str">
        <f t="shared" si="97"/>
        <v>Error?</v>
      </c>
      <c r="E6282" s="2" t="s">
        <v>190</v>
      </c>
    </row>
    <row r="6283" spans="1:5" x14ac:dyDescent="0.2">
      <c r="A6283">
        <v>6222</v>
      </c>
      <c r="B6283" s="138">
        <f>'Acct Summary 7-8'!J83</f>
        <v>0.21544008483563096</v>
      </c>
      <c r="D6283" s="2" t="str">
        <f t="shared" si="97"/>
        <v>Error?</v>
      </c>
      <c r="E6283" s="2" t="s">
        <v>190</v>
      </c>
    </row>
    <row r="6284" spans="1:5" x14ac:dyDescent="0.2">
      <c r="A6284">
        <v>6223</v>
      </c>
      <c r="B6284" s="138">
        <f>'Acct Summary 7-8'!K83</f>
        <v>0.95093505514100007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37394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37394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5000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5000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1122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8803</v>
      </c>
      <c r="D6339" s="2" t="str">
        <f t="shared" si="98"/>
        <v>Error?</v>
      </c>
      <c r="E6339" s="2" t="s">
        <v>190</v>
      </c>
    </row>
    <row r="6340" spans="1:5" x14ac:dyDescent="0.2">
      <c r="A6340">
        <v>6279</v>
      </c>
      <c r="B6340" s="138">
        <f>'Revenues 9-14'!C102</f>
        <v>58</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1122</v>
      </c>
      <c r="D6351" s="2" t="str">
        <f t="shared" si="98"/>
        <v>Error?</v>
      </c>
      <c r="E6351" s="2" t="s">
        <v>190</v>
      </c>
    </row>
    <row r="6352" spans="1:5" x14ac:dyDescent="0.2">
      <c r="A6352">
        <v>6291</v>
      </c>
      <c r="B6352" s="138">
        <f>'Revenues 9-14'!J109</f>
        <v>43669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15440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145467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196457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14897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141234</v>
      </c>
      <c r="D6880" s="2" t="str">
        <f t="shared" si="106"/>
        <v>Error?</v>
      </c>
    </row>
    <row r="6881" spans="1:4" x14ac:dyDescent="0.2">
      <c r="A6881">
        <v>6820</v>
      </c>
      <c r="B6881" s="138">
        <f>'Expenditures 15-22'!K22</f>
        <v>141234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300</v>
      </c>
      <c r="D6981" s="2" t="str">
        <f t="shared" si="108"/>
        <v>Error?</v>
      </c>
    </row>
    <row r="6982" spans="1:4" x14ac:dyDescent="0.2">
      <c r="A6982">
        <v>6921</v>
      </c>
      <c r="B6982" s="138">
        <f>'Expenditures 15-22'!K85</f>
        <v>300</v>
      </c>
      <c r="D6982" s="2" t="str">
        <f t="shared" si="108"/>
        <v>Error?</v>
      </c>
    </row>
    <row r="6983" spans="1:4" x14ac:dyDescent="0.2">
      <c r="A6983">
        <v>6922</v>
      </c>
      <c r="B6983" s="138">
        <f>'Expenditures 15-22'!H86</f>
        <v>29889</v>
      </c>
      <c r="D6983" s="2" t="str">
        <f t="shared" si="108"/>
        <v>Error?</v>
      </c>
    </row>
    <row r="6984" spans="1:4" x14ac:dyDescent="0.2">
      <c r="A6984">
        <v>6923</v>
      </c>
      <c r="B6984" s="138">
        <f>'Expenditures 15-22'!K86</f>
        <v>29889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950</v>
      </c>
      <c r="D6993" s="2" t="str">
        <f t="shared" si="108"/>
        <v>Error?</v>
      </c>
    </row>
    <row r="6994" spans="1:4" x14ac:dyDescent="0.2">
      <c r="A6994">
        <v>6933</v>
      </c>
      <c r="B6994" s="138">
        <f>'Expenditures 15-22'!K91</f>
        <v>950</v>
      </c>
      <c r="D6994" s="2" t="str">
        <f t="shared" si="108"/>
        <v>Error?</v>
      </c>
    </row>
    <row r="6995" spans="1:4" x14ac:dyDescent="0.2">
      <c r="A6995">
        <v>6934</v>
      </c>
      <c r="B6995" s="138">
        <f>'Expenditures 15-22'!H92</f>
        <v>31139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33511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43669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9068</v>
      </c>
      <c r="D7073" s="2" t="str">
        <f t="shared" si="109"/>
        <v>Error?</v>
      </c>
    </row>
    <row r="7074" spans="1:4" x14ac:dyDescent="0.2">
      <c r="A7074">
        <v>7013</v>
      </c>
      <c r="B7074" s="138">
        <f>'Expenditures 15-22'!K216</f>
        <v>9068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192</v>
      </c>
      <c r="D7079" s="2" t="str">
        <f t="shared" si="109"/>
        <v>Error?</v>
      </c>
    </row>
    <row r="7080" spans="1:4" x14ac:dyDescent="0.2">
      <c r="A7080">
        <v>7019</v>
      </c>
      <c r="B7080" s="138">
        <f>'Expenditures 15-22'!K226</f>
        <v>192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22239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22239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8977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8977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2295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2295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33511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33511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33511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33511</v>
      </c>
      <c r="D7224" s="2" t="str">
        <f t="shared" si="111"/>
        <v>Error?</v>
      </c>
    </row>
    <row r="7225" spans="1:4" x14ac:dyDescent="0.2">
      <c r="A7225">
        <v>7164</v>
      </c>
      <c r="B7225" s="138">
        <f>'Expenditures 15-22'!K343</f>
        <v>10158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12062</v>
      </c>
      <c r="D7246" s="2" t="str">
        <f t="shared" si="112"/>
        <v>Error?</v>
      </c>
    </row>
    <row r="7247" spans="1:4" x14ac:dyDescent="0.2">
      <c r="A7247">
        <f t="shared" si="113"/>
        <v>7186</v>
      </c>
      <c r="B7247" s="138">
        <f>'Expenditures 15-22'!E7</f>
        <v>3410</v>
      </c>
      <c r="D7247" s="2" t="str">
        <f t="shared" si="112"/>
        <v>Error?</v>
      </c>
    </row>
    <row r="7248" spans="1:4" x14ac:dyDescent="0.2">
      <c r="A7248">
        <f t="shared" si="113"/>
        <v>7187</v>
      </c>
      <c r="B7248" s="138">
        <f>'Expenditures 15-22'!F7</f>
        <v>28272</v>
      </c>
      <c r="D7248" s="2" t="str">
        <f t="shared" si="112"/>
        <v>Error?</v>
      </c>
    </row>
    <row r="7249" spans="1:4" x14ac:dyDescent="0.2">
      <c r="A7249">
        <f t="shared" si="113"/>
        <v>7188</v>
      </c>
      <c r="B7249" s="138">
        <f>'Expenditures 15-22'!G7</f>
        <v>7246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13349</v>
      </c>
      <c r="D7263" s="2" t="str">
        <f t="shared" si="112"/>
        <v>Error?</v>
      </c>
    </row>
    <row r="7264" spans="1:4" x14ac:dyDescent="0.2">
      <c r="A7264">
        <f t="shared" si="113"/>
        <v>7203</v>
      </c>
      <c r="B7264" s="138">
        <f>'Expenditures 15-22'!D17</f>
        <v>201</v>
      </c>
      <c r="D7264" s="2" t="str">
        <f t="shared" si="112"/>
        <v>Error?</v>
      </c>
    </row>
    <row r="7265" spans="1:5" x14ac:dyDescent="0.2">
      <c r="A7265">
        <f t="shared" si="113"/>
        <v>7204</v>
      </c>
      <c r="B7265" s="138">
        <f>'Expenditures 15-22'!E17</f>
        <v>388</v>
      </c>
      <c r="D7265" s="2" t="str">
        <f t="shared" si="112"/>
        <v>Error?</v>
      </c>
    </row>
    <row r="7266" spans="1:5" x14ac:dyDescent="0.2">
      <c r="A7266">
        <f t="shared" si="113"/>
        <v>7205</v>
      </c>
      <c r="B7266" s="138">
        <f>'Expenditures 15-22'!F17</f>
        <v>959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554713</v>
      </c>
      <c r="D7615" s="2" t="str">
        <f t="shared" ref="D7615:D7678" si="124">IF(ISBLANK(B7615),"OK",IF(A7615-B7615=0,"OK","Error?"))</f>
        <v>Error?</v>
      </c>
      <c r="E7615" s="2" t="s">
        <v>19</v>
      </c>
    </row>
    <row r="7616" spans="1:5" x14ac:dyDescent="0.2">
      <c r="A7616">
        <f t="shared" si="123"/>
        <v>7555</v>
      </c>
      <c r="B7616" s="138">
        <f>'Cap Outlay Deprec 26'!D14</f>
        <v>26977</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581690</v>
      </c>
      <c r="D7618" s="2" t="str">
        <f t="shared" si="124"/>
        <v>Error?</v>
      </c>
      <c r="E7618" s="2" t="s">
        <v>19</v>
      </c>
    </row>
    <row r="7619" spans="1:5" x14ac:dyDescent="0.2">
      <c r="A7619">
        <f t="shared" si="123"/>
        <v>7558</v>
      </c>
      <c r="B7619" s="138">
        <f>'Cap Outlay Deprec 26'!H14</f>
        <v>494103</v>
      </c>
      <c r="D7619" s="2" t="str">
        <f t="shared" si="124"/>
        <v>Error?</v>
      </c>
      <c r="E7619" s="2" t="s">
        <v>19</v>
      </c>
    </row>
    <row r="7620" spans="1:5" x14ac:dyDescent="0.2">
      <c r="A7620">
        <f t="shared" si="123"/>
        <v>7559</v>
      </c>
      <c r="B7620" s="138">
        <f>'Cap Outlay Deprec 26'!I14</f>
        <v>29109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523212</v>
      </c>
      <c r="D7622" s="2" t="str">
        <f t="shared" si="124"/>
        <v>Error?</v>
      </c>
      <c r="E7622" s="2" t="s">
        <v>19</v>
      </c>
    </row>
    <row r="7623" spans="1:5" x14ac:dyDescent="0.2">
      <c r="A7623">
        <f t="shared" si="123"/>
        <v>7562</v>
      </c>
      <c r="B7623" s="138">
        <f>'Cap Outlay Deprec 26'!L14</f>
        <v>58478</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395596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5626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8803</v>
      </c>
      <c r="D7712" s="2" t="str">
        <f t="shared" si="126"/>
        <v>Error?</v>
      </c>
      <c r="E7712" s="2" t="s">
        <v>827</v>
      </c>
    </row>
    <row r="7713" spans="1:6" x14ac:dyDescent="0.2">
      <c r="A7713">
        <v>7652</v>
      </c>
      <c r="B7713" s="138">
        <f>'Rest Tax Levies-Tort Im 25'!J8</f>
        <v>186689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186689</v>
      </c>
      <c r="D7718" s="2" t="str">
        <f t="shared" si="126"/>
        <v>Error?</v>
      </c>
      <c r="E7718" s="2" t="s">
        <v>827</v>
      </c>
    </row>
    <row r="7719" spans="1:6" x14ac:dyDescent="0.2">
      <c r="A7719">
        <v>7658</v>
      </c>
      <c r="B7719" s="138">
        <f>'Rest Tax Levies-Tort Im 25'!K12</f>
        <v>8803</v>
      </c>
      <c r="D7719" s="2" t="str">
        <f t="shared" si="126"/>
        <v>Error?</v>
      </c>
      <c r="E7719" s="2" t="s">
        <v>827</v>
      </c>
    </row>
    <row r="7720" spans="1:6" x14ac:dyDescent="0.2">
      <c r="A7720">
        <v>7659</v>
      </c>
      <c r="B7720" s="138">
        <f>'Rest Tax Levies-Tort Im 25'!H14</f>
        <v>12764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237350</v>
      </c>
      <c r="D7722" s="2" t="str">
        <f t="shared" si="126"/>
        <v>Error?</v>
      </c>
      <c r="E7722" s="2" t="s">
        <v>827</v>
      </c>
    </row>
    <row r="7723" spans="1:6" x14ac:dyDescent="0.2">
      <c r="A7723">
        <v>7662</v>
      </c>
      <c r="B7723" s="138">
        <f>'Rest Tax Levies-Tort Im 25'!K15</f>
        <v>14897</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237350</v>
      </c>
      <c r="D7730" s="2" t="str">
        <f t="shared" si="126"/>
        <v>Error?</v>
      </c>
      <c r="E7730" s="2" t="s">
        <v>827</v>
      </c>
    </row>
    <row r="7731" spans="1:6" x14ac:dyDescent="0.2">
      <c r="A7731">
        <v>7670</v>
      </c>
      <c r="B7731" s="138">
        <f>'Revenues 9-14'!H103</f>
        <v>186689</v>
      </c>
      <c r="D7731" s="2" t="str">
        <f t="shared" si="126"/>
        <v>Error?</v>
      </c>
      <c r="E7731" s="2" t="s">
        <v>827</v>
      </c>
    </row>
    <row r="7732" spans="1:6" x14ac:dyDescent="0.2">
      <c r="A7732">
        <v>7671</v>
      </c>
      <c r="B7732" s="138">
        <f>'Rest Tax Levies-Tort Im 25'!J24</f>
        <v>-45035</v>
      </c>
      <c r="D7732" s="2" t="str">
        <f t="shared" si="126"/>
        <v>Error?</v>
      </c>
      <c r="E7732" s="2" t="s">
        <v>827</v>
      </c>
    </row>
    <row r="7733" spans="1:6" x14ac:dyDescent="0.2">
      <c r="A7733">
        <v>7672</v>
      </c>
      <c r="B7733" s="138">
        <f>'Rest Tax Levies-Tort Im 25'!K24</f>
        <v>-6094</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-45035</v>
      </c>
      <c r="D7742" s="2" t="str">
        <f t="shared" si="126"/>
        <v>Error?</v>
      </c>
      <c r="E7742" s="2" t="s">
        <v>827</v>
      </c>
    </row>
    <row r="7743" spans="1:6" x14ac:dyDescent="0.2">
      <c r="A7743">
        <v>7682</v>
      </c>
      <c r="B7743" s="138">
        <f>'Rest Tax Levies-Tort Im 25'!K26</f>
        <v>-6094</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25048</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48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1989</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Carrollton CUSD 1</v>
      </c>
      <c r="B7" s="2405"/>
      <c r="C7" s="2405"/>
      <c r="D7" s="2406"/>
      <c r="E7" s="2407">
        <f>COVER!A13</f>
        <v>40031001026</v>
      </c>
      <c r="F7" s="2408"/>
      <c r="G7" s="2414">
        <f>COVER!T23</f>
        <v>65.025899999999993</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SCHEFFEL BOYLE</v>
      </c>
      <c r="H9" s="2420"/>
      <c r="I9" s="2420"/>
      <c r="J9" s="2420"/>
      <c r="K9" s="2420"/>
      <c r="L9" s="2421"/>
    </row>
    <row r="10" spans="1:29" ht="13.5" customHeight="1" x14ac:dyDescent="0.2">
      <c r="A10" s="2394" t="str">
        <f>COVER!A38</f>
        <v>MR. MARK HALWACHS</v>
      </c>
      <c r="B10" s="2395"/>
      <c r="C10" s="2395"/>
      <c r="D10" s="2395"/>
      <c r="E10" s="2395"/>
      <c r="F10" s="2396"/>
      <c r="G10" s="2388" t="str">
        <f>COVER!T17</f>
        <v>106 W. COUNTY ROAD</v>
      </c>
      <c r="H10" s="2389"/>
      <c r="I10" s="2389"/>
      <c r="J10" s="2389"/>
      <c r="K10" s="2389"/>
      <c r="L10" s="2390"/>
    </row>
    <row r="11" spans="1:29" ht="13.5" customHeight="1" x14ac:dyDescent="0.2">
      <c r="A11" s="1184" t="s">
        <v>1519</v>
      </c>
      <c r="B11" s="1185"/>
      <c r="C11" s="1186"/>
      <c r="D11" s="1191"/>
      <c r="E11" s="1186"/>
      <c r="F11" s="1190"/>
      <c r="G11" s="2388" t="str">
        <f>COVER!T19</f>
        <v>JERSEYVILLE</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danny.phipps@scheffelboyle.com</v>
      </c>
      <c r="J13" s="2401"/>
      <c r="K13" s="2401"/>
      <c r="L13" s="2402"/>
    </row>
    <row r="14" spans="1:29" ht="13.5" customHeight="1" x14ac:dyDescent="0.2">
      <c r="A14" s="2388" t="str">
        <f>COVER!A19</f>
        <v>950A THIRD STREET</v>
      </c>
      <c r="B14" s="2389"/>
      <c r="C14" s="2389"/>
      <c r="D14" s="2389"/>
      <c r="E14" s="2389"/>
      <c r="F14" s="2390"/>
      <c r="G14" s="1195" t="s">
        <v>1185</v>
      </c>
      <c r="H14" s="1193"/>
      <c r="I14" s="1193"/>
      <c r="J14" s="1193"/>
      <c r="K14" s="1193"/>
      <c r="L14" s="1194"/>
    </row>
    <row r="15" spans="1:29" ht="13.5" customHeight="1" x14ac:dyDescent="0.2">
      <c r="A15" s="2388" t="str">
        <f>COVER!A21</f>
        <v>CARROLLTON</v>
      </c>
      <c r="B15" s="2389"/>
      <c r="C15" s="2389"/>
      <c r="D15" s="2389"/>
      <c r="E15" s="2389"/>
      <c r="F15" s="2390"/>
      <c r="G15" s="2385" t="str">
        <f>COVER!T15</f>
        <v>DANIEL PHIPPS</v>
      </c>
      <c r="H15" s="2386"/>
      <c r="I15" s="2386"/>
      <c r="J15" s="2386"/>
      <c r="K15" s="2386"/>
      <c r="L15" s="2387"/>
    </row>
    <row r="16" spans="1:29" ht="12.2" customHeight="1" x14ac:dyDescent="0.2">
      <c r="A16" s="2410">
        <f>COVER!A25</f>
        <v>62016</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618-498-6841</v>
      </c>
      <c r="H18" s="2405"/>
      <c r="I18" s="2405"/>
      <c r="J18" s="2405"/>
      <c r="K18" s="2404" t="str">
        <f>COVER!X21</f>
        <v>618-498-6842</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Carrollton CUSD 1</v>
      </c>
      <c r="B1" s="2403"/>
      <c r="C1" s="2403"/>
      <c r="D1" s="2403"/>
    </row>
    <row r="2" spans="1:11" s="1212" customFormat="1" ht="12.75" x14ac:dyDescent="0.2">
      <c r="A2" s="2427">
        <f>'Single Audit Cover'!E7</f>
        <v>40031001026</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 sqref="A4:F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Carrollton CUSD 1</v>
      </c>
      <c r="B1" s="2430"/>
      <c r="C1" s="2430"/>
      <c r="D1" s="2430"/>
      <c r="E1" s="2430"/>
    </row>
    <row r="2" spans="1:5" x14ac:dyDescent="0.2">
      <c r="A2" s="2431">
        <f>'Single Audit Cover'!E7</f>
        <v>40031001026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536470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-22474</v>
      </c>
    </row>
    <row r="19" spans="1:4" ht="13.5" thickBot="1" x14ac:dyDescent="0.25">
      <c r="A19" s="1262" t="s">
        <v>1235</v>
      </c>
      <c r="D19" s="1263">
        <f>SUM(D10:D17)</f>
        <v>513996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513996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513996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Carrollton CUSD 1</v>
      </c>
      <c r="C1" s="2434"/>
      <c r="D1" s="2434"/>
      <c r="E1" s="2434"/>
      <c r="F1" s="2434"/>
      <c r="G1" s="2434"/>
      <c r="H1" s="2434"/>
      <c r="I1" s="2434"/>
      <c r="J1" s="2434"/>
      <c r="K1" s="2434"/>
      <c r="L1" s="2434"/>
      <c r="M1" s="2434"/>
    </row>
    <row r="2" spans="2:14" ht="15" x14ac:dyDescent="0.2">
      <c r="B2" s="2435">
        <f>'Single Audit Cover'!E7</f>
        <v>40031001026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Carrollton CUSD 1</v>
      </c>
      <c r="B1" s="2447"/>
      <c r="C1" s="2447"/>
      <c r="D1" s="2447"/>
      <c r="E1" s="2447"/>
      <c r="F1" s="2447"/>
    </row>
    <row r="2" spans="1:7" ht="13.5" customHeight="1" x14ac:dyDescent="0.2">
      <c r="A2" s="2435">
        <f>'Single Audit Cover'!E7</f>
        <v>40031001026</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0" t="s">
        <v>1732</v>
      </c>
      <c r="B32" s="2440"/>
      <c r="C32" s="2440"/>
      <c r="D32" s="2440"/>
      <c r="E32" s="2440"/>
      <c r="F32" s="2440"/>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1">
        <f>+C33+C34</f>
        <v>0</v>
      </c>
      <c r="F34" s="244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5"/>
      <c r="C50" s="1845"/>
      <c r="D50" s="1845"/>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4" sqref="A4:I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Carrollton CUSD 1</v>
      </c>
      <c r="C1" s="2462"/>
      <c r="D1" s="2462"/>
      <c r="E1" s="2462"/>
      <c r="F1" s="2462"/>
      <c r="G1" s="2462"/>
      <c r="H1" s="2462"/>
      <c r="I1" s="2462"/>
      <c r="J1" s="1406"/>
    </row>
    <row r="2" spans="2:10" s="317" customFormat="1" ht="12.75" customHeight="1" x14ac:dyDescent="0.2">
      <c r="B2" s="2463">
        <f>'Single Audit Cover'!E7</f>
        <v>40031001026</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c r="E29" s="2468"/>
      <c r="F29" s="2468"/>
      <c r="G29" s="2468"/>
      <c r="H29" s="2468"/>
      <c r="I29" s="246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9" t="s">
        <v>1751</v>
      </c>
      <c r="D37" s="2470"/>
      <c r="E37" s="2470"/>
      <c r="F37" s="2471"/>
      <c r="G37" s="2469" t="s">
        <v>1592</v>
      </c>
      <c r="H37" s="2470"/>
      <c r="I37" s="2471"/>
    </row>
    <row r="38" spans="2:9" ht="16.5" customHeight="1" x14ac:dyDescent="0.2">
      <c r="B38" s="1428"/>
      <c r="C38" s="2457"/>
      <c r="D38" s="2458"/>
      <c r="E38" s="2458"/>
      <c r="F38" s="2459"/>
      <c r="G38" s="2472"/>
      <c r="H38" s="2473"/>
      <c r="I38" s="2474"/>
    </row>
    <row r="39" spans="2:9" ht="16.5" customHeight="1" x14ac:dyDescent="0.2">
      <c r="B39" s="1428"/>
      <c r="C39" s="2457"/>
      <c r="D39" s="2458"/>
      <c r="E39" s="2458"/>
      <c r="F39" s="2459"/>
      <c r="G39" s="2460"/>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50" t="s">
        <v>1593</v>
      </c>
      <c r="D43" s="2451"/>
      <c r="E43" s="2451"/>
      <c r="F43" s="2452"/>
      <c r="G43" s="2453">
        <f>SUM(G38:I42)</f>
        <v>0</v>
      </c>
      <c r="H43" s="2453"/>
      <c r="I43" s="2453"/>
    </row>
    <row r="44" spans="2:9" ht="12.75" customHeight="1" x14ac:dyDescent="0.2"/>
    <row r="45" spans="2:9" ht="12.75" customHeight="1" x14ac:dyDescent="0.2">
      <c r="B45" s="1419" t="s">
        <v>1841</v>
      </c>
      <c r="D45" s="2454">
        <v>0</v>
      </c>
      <c r="E45" s="245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6"/>
      <c r="F49" s="2456"/>
      <c r="G49" s="245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6" sqref="B26:K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Carrollton CUSD 1</v>
      </c>
      <c r="C1" s="2461"/>
      <c r="D1" s="2461"/>
      <c r="E1" s="2461"/>
      <c r="F1" s="2461"/>
      <c r="G1" s="2461"/>
      <c r="H1" s="2461"/>
      <c r="I1" s="2461"/>
      <c r="J1" s="2461"/>
      <c r="K1" s="2461"/>
      <c r="L1" s="1371"/>
      <c r="M1" s="1371"/>
    </row>
    <row r="2" spans="1:13" ht="12" customHeight="1" x14ac:dyDescent="0.2">
      <c r="B2" s="2463">
        <f>'Single Audit Cover'!E7</f>
        <v>40031001026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8"/>
      <c r="M3" s="1938"/>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3</v>
      </c>
      <c r="E10" s="322"/>
      <c r="F10" s="1384" t="s">
        <v>1295</v>
      </c>
      <c r="G10" s="1385" t="s">
        <v>2064</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2113</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2114</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2115</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2116</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2117</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2118</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2119</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2"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Carrollton CUSD 1</v>
      </c>
      <c r="C1" s="2461"/>
      <c r="D1" s="2461"/>
      <c r="E1" s="2461"/>
      <c r="F1" s="2461"/>
      <c r="G1" s="2461"/>
      <c r="H1" s="2461"/>
      <c r="I1" s="2461"/>
      <c r="J1" s="2461"/>
      <c r="K1" s="2461"/>
      <c r="L1" s="1371"/>
      <c r="M1" s="1371"/>
    </row>
    <row r="2" spans="1:13" ht="12" customHeight="1" x14ac:dyDescent="0.2">
      <c r="B2" s="2463">
        <f>'Single Audit Cover'!E7</f>
        <v>40031001026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2</v>
      </c>
      <c r="E10" s="322"/>
      <c r="F10" s="1384" t="s">
        <v>1295</v>
      </c>
      <c r="G10" s="1385" t="s">
        <v>2064</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2103</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2137</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2104</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2105</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2108</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2106</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2107</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7"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Carrollton CUSD 1</v>
      </c>
      <c r="C1" s="2461"/>
      <c r="D1" s="2461"/>
      <c r="E1" s="2461"/>
      <c r="F1" s="2461"/>
      <c r="G1" s="2461"/>
      <c r="H1" s="2461"/>
      <c r="I1" s="2461"/>
      <c r="J1" s="2461"/>
      <c r="K1" s="2461"/>
      <c r="L1" s="1371"/>
      <c r="M1" s="1371"/>
    </row>
    <row r="2" spans="1:13" ht="12" customHeight="1" x14ac:dyDescent="0.2">
      <c r="B2" s="2463">
        <f>'Single Audit Cover'!E7</f>
        <v>40031001026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1</v>
      </c>
      <c r="E10" s="322"/>
      <c r="F10" s="1384" t="s">
        <v>1295</v>
      </c>
      <c r="G10" s="1385"/>
      <c r="H10" s="1386" t="s">
        <v>1294</v>
      </c>
      <c r="I10" s="1385" t="s">
        <v>2064</v>
      </c>
      <c r="J10" s="1387" t="s">
        <v>1293</v>
      </c>
      <c r="K10" s="322"/>
      <c r="L10" s="1378"/>
    </row>
    <row r="11" spans="1:13" ht="13.5" customHeight="1" x14ac:dyDescent="0.2">
      <c r="B11" s="322"/>
      <c r="C11" s="322"/>
      <c r="D11" s="322"/>
      <c r="E11" s="322"/>
      <c r="F11" s="322"/>
      <c r="G11" s="1380"/>
      <c r="H11" s="322"/>
      <c r="I11" s="1388" t="s">
        <v>1292</v>
      </c>
      <c r="J11" s="322"/>
      <c r="K11" s="1389" t="s">
        <v>2096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2097</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2098</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2099</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2100</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2101</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2102</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2138</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Carrollton CUSD 1</v>
      </c>
      <c r="C1" s="2484"/>
      <c r="D1" s="2484"/>
      <c r="E1" s="2484"/>
      <c r="F1" s="2484"/>
      <c r="G1" s="2484"/>
      <c r="H1" s="2484"/>
      <c r="I1" s="2484"/>
      <c r="J1" s="2484"/>
      <c r="K1" s="2484"/>
      <c r="L1" s="1449"/>
    </row>
    <row r="2" spans="1:12" ht="12.75" customHeight="1" x14ac:dyDescent="0.2">
      <c r="B2" s="2485">
        <f>'Single Audit Cover'!E7</f>
        <v>40031001026</v>
      </c>
      <c r="C2" s="2485"/>
      <c r="D2" s="2485"/>
      <c r="E2" s="2485"/>
      <c r="F2" s="2485"/>
      <c r="G2" s="2485"/>
      <c r="H2" s="2485"/>
      <c r="I2" s="2485"/>
      <c r="J2" s="2485"/>
      <c r="K2" s="2485"/>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Carrollton CUSD 1</v>
      </c>
      <c r="C1" s="2461"/>
      <c r="D1" s="2461"/>
      <c r="E1" s="1469"/>
    </row>
    <row r="2" spans="2:5" s="1279" customFormat="1" ht="12.75" customHeight="1" x14ac:dyDescent="0.2">
      <c r="B2" s="2463">
        <f>'Single Audit Cover'!E7</f>
        <v>40031001026</v>
      </c>
      <c r="C2" s="2463"/>
      <c r="D2" s="2463"/>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t="s">
        <v>2112</v>
      </c>
      <c r="C8" s="324" t="s">
        <v>2109</v>
      </c>
      <c r="D8" s="324" t="s">
        <v>2111</v>
      </c>
      <c r="E8" s="324"/>
    </row>
    <row r="9" spans="2:5" ht="13.5" customHeight="1" x14ac:dyDescent="0.2">
      <c r="B9" s="1475"/>
      <c r="C9" s="323" t="s">
        <v>2110</v>
      </c>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d21dc803-237d-4c68-8692-8d731fd29118"/>
    <ds:schemaRef ds:uri="http://schemas.microsoft.com/office/2006/metadata/properties"/>
    <ds:schemaRef ds:uri="http://purl.org/dc/terms/"/>
    <ds:schemaRef ds:uri="6ce3111e-7420-4802-b50a-75d4e9a0b980"/>
    <ds:schemaRef ds:uri="http://schemas.microsoft.com/office/2006/documentManagement/types"/>
    <ds:schemaRef ds:uri="http://purl.org/dc/elements/1.1/"/>
    <ds:schemaRef ds:uri="http://schemas.microsoft.com/office/infopath/2007/PartnerControls"/>
    <ds:schemaRef ds:uri="http://schemas.microsoft.com/sharepoint/v3"/>
    <ds:schemaRef ds:uri="http://schemas.openxmlformats.org/package/2006/metadata/core-propertie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 (3)</vt:lpstr>
      <vt:lpstr>SF&amp;QC Sec-2 (2)</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2019-09-18T15:02:12Z</cp:lastPrinted>
  <dcterms:created xsi:type="dcterms:W3CDTF">2003-10-29T19:06:34Z</dcterms:created>
  <dcterms:modified xsi:type="dcterms:W3CDTF">2019-11-25T16:29:20Z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