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W:\AFR2019DTA\AFR19_AFRs for Website\School Districts 19\"/>
    </mc:Choice>
  </mc:AlternateContent>
  <bookViews>
    <workbookView xWindow="-28920" yWindow="-120" windowWidth="29040" windowHeight="1584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7" i="181"/>
  <c r="F26" i="181"/>
  <c r="F25" i="181"/>
  <c r="F24" i="181"/>
  <c r="F23" i="181"/>
  <c r="F22" i="181"/>
  <c r="F21" i="181"/>
  <c r="F20" i="181"/>
  <c r="F19" i="181"/>
  <c r="F18"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G27" i="181"/>
  <c r="E27" i="181"/>
  <c r="E26" i="181"/>
  <c r="E25" i="181"/>
  <c r="G25" i="181" s="1"/>
  <c r="E24" i="181"/>
  <c r="G24" i="181" s="1"/>
  <c r="E23" i="181"/>
  <c r="G23" i="181" s="1"/>
  <c r="E22" i="181"/>
  <c r="G22" i="181" s="1"/>
  <c r="E21" i="181"/>
  <c r="G21" i="181" s="1"/>
  <c r="E20" i="181"/>
  <c r="E19" i="181"/>
  <c r="G44" i="181" l="1"/>
  <c r="G43" i="181"/>
  <c r="G34" i="181"/>
  <c r="G30" i="181"/>
  <c r="G28" i="181"/>
  <c r="G26" i="181"/>
  <c r="G20" i="181"/>
  <c r="G19" i="181"/>
  <c r="D142" i="181"/>
  <c r="D80" i="36" l="1"/>
  <c r="B7797" i="106"/>
  <c r="E142" i="181"/>
  <c r="E18" i="18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C209" i="5"/>
  <c r="B4411" i="106" s="1"/>
  <c r="D4411" i="106" s="1"/>
  <c r="C217" i="5"/>
  <c r="C221" i="5"/>
  <c r="B5304" i="106" s="1"/>
  <c r="D5304" i="106" s="1"/>
  <c r="C252" i="5"/>
  <c r="B7761" i="106"/>
  <c r="D7761" i="106" s="1"/>
  <c r="L127" i="29"/>
  <c r="L129" i="29" s="1"/>
  <c r="L139" i="29"/>
  <c r="L149" i="29"/>
  <c r="I7" i="145"/>
  <c r="I6" i="145"/>
  <c r="D78" i="36"/>
  <c r="K75" i="29"/>
  <c r="C14" i="4" s="1"/>
  <c r="B2558" i="106" s="1"/>
  <c r="D2558" i="106" s="1"/>
  <c r="K130" i="29"/>
  <c r="K185" i="29"/>
  <c r="F62" i="34" s="1"/>
  <c r="K122" i="29"/>
  <c r="F15" i="145" s="1"/>
  <c r="F19" i="145" s="1"/>
  <c r="K67" i="29"/>
  <c r="G33" i="108" s="1"/>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B2975" i="106" s="1"/>
  <c r="D2975" i="106" s="1"/>
  <c r="K81" i="29"/>
  <c r="B2976" i="106" s="1"/>
  <c r="D2976" i="106" s="1"/>
  <c r="K82" i="29"/>
  <c r="K83" i="29"/>
  <c r="B2978" i="106" s="1"/>
  <c r="D2978" i="106" s="1"/>
  <c r="K93" i="29"/>
  <c r="K94" i="29"/>
  <c r="K95" i="29"/>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H28" i="118"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9" i="36"/>
  <c r="D71" i="36"/>
  <c r="D72" i="36"/>
  <c r="D79" i="36"/>
  <c r="B60" i="127"/>
  <c r="B61" i="127"/>
  <c r="E26" i="108"/>
  <c r="G26" i="108"/>
  <c r="D27" i="108"/>
  <c r="E27" i="108"/>
  <c r="F27" i="108"/>
  <c r="G27" i="108"/>
  <c r="F28" i="108"/>
  <c r="F31" i="108"/>
  <c r="F36" i="108"/>
  <c r="G28" i="108"/>
  <c r="G29" i="108"/>
  <c r="D31" i="108"/>
  <c r="D36" i="108"/>
  <c r="E31" i="108"/>
  <c r="G31" i="108"/>
  <c r="E33" i="108"/>
  <c r="E34"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F38" i="34"/>
  <c r="C39" i="34"/>
  <c r="D39" i="34"/>
  <c r="C40" i="34"/>
  <c r="D40" i="34"/>
  <c r="C41" i="34"/>
  <c r="D41" i="34"/>
  <c r="C42" i="34"/>
  <c r="D42" i="34"/>
  <c r="F42" i="34"/>
  <c r="C43" i="34"/>
  <c r="D43" i="34"/>
  <c r="C44" i="34"/>
  <c r="D44" i="34"/>
  <c r="C45" i="34"/>
  <c r="D45" i="34"/>
  <c r="C46" i="34"/>
  <c r="D46" i="34"/>
  <c r="F46" i="34"/>
  <c r="C47" i="34"/>
  <c r="D47" i="34"/>
  <c r="C48" i="34"/>
  <c r="D48" i="34"/>
  <c r="C49" i="34"/>
  <c r="D49" i="34"/>
  <c r="C50" i="34"/>
  <c r="D50" i="34"/>
  <c r="C51" i="34"/>
  <c r="D51" i="34"/>
  <c r="C52" i="34"/>
  <c r="F52" i="34"/>
  <c r="C53" i="34"/>
  <c r="D53" i="34"/>
  <c r="C56" i="34"/>
  <c r="F56" i="34"/>
  <c r="C57" i="34"/>
  <c r="D57" i="34"/>
  <c r="C61" i="34"/>
  <c r="C62" i="34"/>
  <c r="C63" i="34"/>
  <c r="D63" i="34"/>
  <c r="C64" i="34"/>
  <c r="F64" i="34"/>
  <c r="F65"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2" i="29" s="1"/>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J22" i="37"/>
  <c r="L22" i="37"/>
  <c r="D24" i="37"/>
  <c r="B4270" i="106" s="1"/>
  <c r="D4270" i="106" s="1"/>
  <c r="G30" i="108" l="1"/>
  <c r="B3647" i="106"/>
  <c r="D3647" i="106" s="1"/>
  <c r="C342" i="29"/>
  <c r="B7216" i="106" s="1"/>
  <c r="D7216" i="106" s="1"/>
  <c r="F19" i="7"/>
  <c r="B1807" i="106" s="1"/>
  <c r="D1807" i="106" s="1"/>
  <c r="J77" i="4"/>
  <c r="B6262" i="106" s="1"/>
  <c r="D6262" i="106" s="1"/>
  <c r="J41" i="3"/>
  <c r="L367" i="29"/>
  <c r="L5" i="11"/>
  <c r="B2056" i="106" s="1"/>
  <c r="D2056" i="106" s="1"/>
  <c r="D7245" i="106"/>
  <c r="D6103" i="106"/>
  <c r="B1868" i="106"/>
  <c r="D1868" i="106" s="1"/>
  <c r="I210" i="29"/>
  <c r="B7071" i="106" s="1"/>
  <c r="D7071" i="106" s="1"/>
  <c r="J210" i="29"/>
  <c r="B7072" i="106" s="1"/>
  <c r="D7072" i="106" s="1"/>
  <c r="F50" i="34"/>
  <c r="D22" i="37"/>
  <c r="F36" i="34"/>
  <c r="H33" i="118"/>
  <c r="C352" i="29"/>
  <c r="B3621" i="106" s="1"/>
  <c r="D3621" i="106" s="1"/>
  <c r="K76" i="4"/>
  <c r="B3586" i="106" s="1"/>
  <c r="D3586" i="106" s="1"/>
  <c r="H76" i="4"/>
  <c r="B3298" i="106" s="1"/>
  <c r="D3298" i="106" s="1"/>
  <c r="F34" i="34"/>
  <c r="J129" i="29"/>
  <c r="B7038" i="106" s="1"/>
  <c r="D7038" i="106" s="1"/>
  <c r="L13" i="11"/>
  <c r="B2060" i="106" s="1"/>
  <c r="D2060" i="106" s="1"/>
  <c r="K184" i="29"/>
  <c r="F13" i="4" s="1"/>
  <c r="B2596" i="106" s="1"/>
  <c r="D2596" i="106" s="1"/>
  <c r="D68" i="36"/>
  <c r="E29"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E28" i="108"/>
  <c r="F26" i="108"/>
  <c r="D26" i="108"/>
  <c r="D31" i="36"/>
  <c r="B7235" i="106"/>
  <c r="D7235" i="106" s="1"/>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B5770" i="106" s="1"/>
  <c r="D5770" i="106" s="1"/>
  <c r="G170" i="5"/>
  <c r="B5778" i="106" s="1"/>
  <c r="D5778"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F41" i="108"/>
  <c r="G43" i="108" s="1"/>
  <c r="B7600" i="106"/>
  <c r="L6" i="11"/>
  <c r="B7605" i="106" s="1"/>
  <c r="A7250" i="106"/>
  <c r="A7251" i="106" s="1"/>
  <c r="A7252" i="106" s="1"/>
  <c r="A7253" i="106" s="1"/>
  <c r="A7254" i="106" s="1"/>
  <c r="A7255" i="106" s="1"/>
  <c r="A7256" i="106" s="1"/>
  <c r="A7257" i="106" s="1"/>
  <c r="D7249" i="106"/>
  <c r="D44" i="36"/>
  <c r="E266" i="5"/>
  <c r="B6835" i="106"/>
  <c r="D6835" i="106" s="1"/>
  <c r="G266" i="5"/>
  <c r="B4398" i="106"/>
  <c r="D4398" i="106" s="1"/>
  <c r="B5537" i="106"/>
  <c r="D5537" i="106" s="1"/>
  <c r="E170" i="5"/>
  <c r="I109" i="5"/>
  <c r="B5527" i="106"/>
  <c r="D5527" i="106" s="1"/>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C114" i="29" l="1"/>
  <c r="B757" i="106" s="1"/>
  <c r="D757" i="106" s="1"/>
  <c r="N23" i="3"/>
  <c r="B284" i="106" s="1"/>
  <c r="D284" i="106" s="1"/>
  <c r="L16" i="11"/>
  <c r="B2061" i="106" s="1"/>
  <c r="D2061" i="106" s="1"/>
  <c r="B2031" i="106"/>
  <c r="D2031" i="106" s="1"/>
  <c r="G6" i="4"/>
  <c r="B2604" i="106" s="1"/>
  <c r="D2604" i="106" s="1"/>
  <c r="C367" i="29"/>
  <c r="B3622" i="106" s="1"/>
  <c r="D3622" i="106" s="1"/>
  <c r="L114" i="29"/>
  <c r="H151" i="29"/>
  <c r="B1273" i="106" s="1"/>
  <c r="D1273" i="106" s="1"/>
  <c r="K342" i="29"/>
  <c r="F13" i="34" s="1"/>
  <c r="D41" i="108"/>
  <c r="E43" i="108" s="1"/>
  <c r="H77" i="4"/>
  <c r="B3299" i="106" s="1"/>
  <c r="D3299"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B1145" i="106" l="1"/>
  <c r="D1145" i="106" s="1"/>
  <c r="D268" i="5"/>
  <c r="E41" i="108"/>
  <c r="E44" i="108" s="1"/>
  <c r="E45" i="108" s="1"/>
  <c r="J17" i="4"/>
  <c r="J20" i="4"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D8" i="146"/>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B2567" i="106"/>
  <c r="D2567" i="106" s="1"/>
  <c r="F76" i="34" l="1"/>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F175" i="34" l="1"/>
  <c r="F79" i="34"/>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J16" i="37" s="1"/>
  <c r="B4269" i="106" s="1"/>
  <c r="D4269" i="106" s="1"/>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H12" i="118" l="1"/>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<sst xmlns="http://schemas.openxmlformats.org/spreadsheetml/2006/main" count="5110" uniqueCount="2116">
  <si>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</si>
  <si>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</si>
  <si>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</si>
  <si>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</si>
  <si>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</si>
  <si>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</si>
  <si>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</si>
  <si>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</si>
  <si>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</si>
  <si>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</si>
  <si>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</si>
  <si>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</si>
  <si>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</si>
  <si>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</si>
  <si>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</si>
  <si>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</si>
  <si>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</si>
  <si>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</si>
  <si>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</si>
  <si>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</si>
  <si>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</si>
  <si>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</si>
  <si>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</si>
  <si>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</si>
  <si>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</si>
  <si>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</si>
  <si>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</si>
  <si>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</si>
  <si>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</si>
  <si>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</si>
  <si>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</si>
  <si>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</si>
  <si>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</si>
  <si>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</si>
  <si>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</si>
  <si>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</si>
  <si>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</si>
  <si>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</si>
  <si>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</si>
  <si>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</si>
  <si>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</si>
  <si>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</si>
  <si>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</si>
  <si>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</si>
  <si>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</si>
  <si>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</si>
  <si>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</si>
  <si>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</si>
  <si>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</si>
  <si>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</si>
  <si>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</si>
  <si>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</si>
  <si>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</si>
  <si>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</si>
  <si>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</si>
  <si>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</si>
  <si>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</si>
  <si>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</si>
  <si>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</si>
  <si>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</si>
  <si>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</si>
  <si>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</si>
  <si>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</si>
  <si>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</si>
  <si>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</si>
  <si>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</si>
  <si>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</si>
  <si>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</si>
  <si>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</si>
  <si>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</si>
  <si>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</si>
  <si>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</si>
  <si>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</si>
  <si>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</si>
  <si>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</si>
  <si>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</si>
  <si>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</si>
  <si>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</si>
  <si>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</si>
  <si>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</si>
  <si>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</si>
  <si>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</si>
  <si>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</si>
  <si>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</si>
  <si>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</si>
  <si>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</si>
  <si>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</si>
  <si>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</si>
  <si>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</si>
  <si>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</si>
  <si>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</si>
  <si>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</si>
  <si>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</si>
  <si>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</si>
  <si>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</si>
  <si>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</si>
  <si>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</si>
  <si>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</si>
  <si>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</si>
  <si>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</si>
  <si>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</si>
  <si>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</si>
  <si>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</si>
  <si>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</si>
  <si>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</si>
  <si>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</si>
  <si>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</si>
  <si>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</si>
  <si>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</si>
  <si>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</si>
  <si>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</si>
  <si>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</si>
  <si>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</si>
  <si>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</si>
  <si>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</si>
  <si>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</si>
  <si>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</si>
  <si>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</si>
  <si>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</si>
  <si>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</si>
  <si>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</si>
  <si>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</si>
  <si>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</si>
  <si>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</si>
  <si>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</si>
  <si>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</si>
  <si>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</si>
  <si>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</si>
  <si>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</si>
  <si>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</si>
  <si>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</si>
  <si>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</si>
  <si>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</si>
  <si>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</si>
  <si>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</si>
  <si>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</si>
  <si>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</si>
  <si>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</si>
  <si>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</si>
  <si>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</si>
  <si>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</si>
  <si>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</si>
  <si>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</si>
  <si>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</si>
  <si>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</si>
  <si>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</si>
  <si>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</si>
  <si>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</si>
  <si>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</si>
  <si>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</si>
  <si>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</si>
  <si>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</si>
  <si>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</si>
  <si>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</si>
  <si>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</si>
  <si>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</si>
  <si>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</si>
  <si>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</si>
  <si>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</si>
  <si>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</si>
  <si>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</si>
  <si>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</si>
  <si>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</si>
  <si>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</si>
  <si>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</si>
  <si>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</si>
  <si>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</si>
  <si>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</si>
  <si>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</si>
  <si>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</si>
  <si>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</si>
  <si>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</si>
  <si>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</si>
  <si>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</si>
  <si>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</si>
  <si>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</si>
  <si>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</si>
  <si>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</si>
  <si>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</si>
  <si>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</si>
  <si>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</si>
  <si>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</si>
  <si>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</si>
  <si>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</si>
  <si>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</si>
  <si>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</si>
  <si>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</si>
  <si>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</si>
  <si>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</si>
  <si>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</si>
  <si>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</si>
  <si>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</si>
  <si>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</si>
  <si>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</si>
  <si>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</si>
  <si>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</si>
  <si>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</si>
  <si>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</si>
  <si>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</si>
  <si>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</si>
  <si>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</si>
  <si>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</si>
  <si>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</si>
  <si>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</si>
  <si>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</si>
  <si>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</si>
  <si>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</si>
  <si>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</si>
  <si>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</si>
  <si>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</si>
  <si>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</si>
  <si>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</si>
  <si>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</si>
  <si>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</si>
  <si>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</si>
  <si>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</si>
  <si>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</si>
  <si>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</si>
  <si>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</si>
  <si>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</si>
  <si>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</si>
  <si>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</si>
  <si>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</si>
  <si>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</si>
  <si>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</si>
  <si>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</si>
  <si>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</si>
  <si>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</si>
  <si>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</si>
  <si>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</si>
  <si>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</si>
  <si>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</si>
  <si>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</si>
  <si>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</si>
  <si>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</si>
  <si>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</si>
  <si>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</si>
  <si>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</si>
  <si>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</si>
  <si>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</si>
  <si>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</si>
  <si>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</si>
  <si>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</si>
  <si>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</si>
  <si>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</si>
  <si>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</si>
  <si>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</si>
  <si>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</si>
  <si>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</si>
  <si>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</si>
  <si>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</si>
  <si>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</si>
  <si>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</si>
  <si>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</si>
  <si>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</si>
  <si>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</si>
  <si>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</si>
  <si>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</si>
  <si>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</si>
  <si>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</si>
  <si>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</si>
  <si>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</si>
  <si>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</si>
  <si>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</si>
  <si>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</si>
  <si>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</si>
  <si>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</si>
  <si>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</si>
  <si>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</si>
  <si>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</si>
  <si>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</si>
  <si>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</si>
  <si>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</si>
  <si>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</si>
  <si>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</si>
  <si>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</si>
  <si>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</si>
  <si>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</si>
  <si>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</si>
  <si>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</si>
  <si>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</si>
  <si>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</si>
  <si>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</si>
  <si>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</si>
  <si>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</si>
  <si>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</si>
  <si>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</si>
  <si>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</si>
  <si>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</si>
  <si>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</si>
  <si>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</si>
  <si>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</si>
  <si>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</si>
  <si>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</si>
  <si>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</si>
  <si>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</si>
  <si>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</si>
  <si>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</si>
  <si>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</si>
  <si>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</si>
  <si>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</si>
  <si>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</si>
  <si>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</si>
  <si>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</si>
  <si>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</si>
  <si>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</si>
  <si>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</si>
  <si>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</si>
  <si>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</si>
  <si>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</si>
  <si>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</si>
  <si>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</si>
  <si>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</si>
  <si>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</si>
  <si>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</si>
  <si>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</si>
  <si>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</si>
  <si>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</si>
  <si>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</si>
  <si>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</si>
  <si>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</si>
  <si>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</si>
  <si>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</si>
  <si>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</si>
  <si>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</si>
  <si>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</si>
  <si>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</si>
  <si>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</si>
  <si>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</si>
  <si>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</si>
  <si>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</si>
  <si>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</si>
  <si>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</si>
  <si>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</si>
  <si>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</si>
  <si>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</si>
  <si>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</si>
  <si>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</si>
  <si>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</si>
  <si>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</si>
  <si>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</si>
  <si>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</si>
  <si>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</si>
  <si>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</si>
  <si>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</si>
  <si>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</si>
  <si>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</si>
  <si>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</si>
  <si>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</si>
  <si>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</si>
  <si>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</si>
  <si>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</si>
  <si>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</si>
  <si>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</si>
  <si>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</si>
  <si>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</si>
  <si>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</si>
  <si>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</si>
  <si>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</si>
  <si>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</si>
  <si>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</si>
  <si>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</si>
  <si>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</si>
  <si>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</si>
  <si>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</si>
  <si>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</si>
  <si>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</si>
  <si>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</si>
  <si>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</si>
  <si>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</si>
  <si>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</si>
  <si>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</si>
  <si>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</si>
  <si>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</si>
  <si>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</si>
  <si>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</si>
  <si>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</si>
  <si>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</si>
  <si>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</si>
  <si>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</si>
  <si>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</si>
  <si>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</si>
  <si>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</si>
  <si>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</si>
  <si>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</si>
  <si>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</si>
  <si>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</si>
  <si>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</si>
  <si>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</si>
  <si>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</si>
  <si>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</si>
  <si>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</si>
  <si>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</si>
  <si>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</si>
  <si>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</si>
  <si>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</si>
  <si>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</si>
  <si>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</si>
  <si>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</si>
  <si>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</si>
  <si>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</si>
  <si>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</si>
  <si>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</si>
  <si>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</si>
  <si>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</si>
  <si>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</si>
  <si>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</si>
  <si>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</si>
  <si>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</si>
  <si>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</si>
  <si>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</si>
  <si>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</si>
  <si>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</si>
  <si>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</si>
  <si>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</si>
  <si>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</si>
  <si>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</si>
  <si>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</si>
  <si>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</si>
  <si>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</si>
  <si>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</si>
  <si>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</si>
  <si>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</si>
  <si>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</si>
  <si>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</si>
  <si>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</si>
  <si>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</si>
  <si>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</si>
  <si>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</si>
  <si>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</si>
  <si>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</si>
  <si>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</si>
  <si>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</si>
  <si>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</si>
  <si>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</si>
  <si>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</si>
  <si>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</si>
  <si>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</si>
  <si>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</si>
  <si>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</si>
  <si>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</si>
  <si>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</si>
  <si>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</si>
  <si>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</si>
  <si>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</si>
  <si>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</si>
  <si>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</si>
  <si>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</si>
  <si>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</si>
  <si>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</si>
  <si>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</si>
  <si>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</si>
  <si>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</si>
  <si>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</si>
  <si>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</si>
  <si>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</si>
  <si>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</si>
  <si>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</si>
  <si>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</si>
  <si>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</si>
  <si>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</si>
  <si>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</si>
  <si>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</si>
  <si>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</si>
  <si>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</si>
  <si>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</si>
  <si>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</si>
  <si>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</si>
  <si>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</si>
  <si>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</si>
  <si>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</si>
  <si>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</si>
  <si>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</si>
  <si>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</si>
  <si>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</si>
  <si>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</si>
  <si>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</si>
  <si>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</si>
  <si>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</si>
  <si>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</si>
  <si>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</si>
  <si>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</si>
  <si>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</si>
  <si>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</si>
  <si>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</si>
  <si>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</si>
  <si>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</si>
  <si>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</si>
  <si>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</si>
  <si>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</si>
  <si>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</si>
  <si>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</si>
  <si>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</si>
  <si>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</si>
  <si>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</si>
  <si>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</si>
  <si>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</si>
  <si>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</si>
  <si>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</si>
  <si>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</si>
  <si>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</si>
  <si>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</si>
  <si>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</si>
  <si>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</si>
  <si>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</si>
  <si>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</si>
  <si>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</si>
  <si>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</si>
  <si>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</si>
  <si>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</si>
  <si>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</si>
  <si>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</si>
  <si>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</si>
  <si>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</si>
  <si>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</si>
  <si>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</si>
  <si>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</si>
  <si>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</si>
  <si>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</si>
  <si>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</si>
  <si>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</si>
  <si>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</si>
  <si>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</si>
  <si>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</si>
  <si>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</si>
  <si>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</si>
  <si>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</si>
  <si>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</si>
  <si>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</si>
  <si>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</si>
  <si>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</si>
  <si>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</si>
  <si>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</si>
  <si>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</si>
  <si>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</si>
  <si>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</si>
  <si>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</si>
  <si>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</si>
  <si>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</si>
  <si>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</si>
  <si>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</si>
  <si>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</si>
  <si>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</si>
  <si>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</si>
  <si>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</si>
  <si>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</si>
  <si>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</si>
  <si>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</si>
  <si>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</si>
  <si>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</si>
  <si>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</si>
  <si>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</si>
  <si>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</si>
  <si>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</si>
  <si>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</si>
  <si>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</si>
  <si>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</si>
  <si>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</si>
  <si>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</si>
  <si>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</si>
  <si>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</si>
  <si>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</si>
  <si>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</si>
  <si>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</si>
  <si>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</si>
  <si>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</si>
  <si>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</si>
  <si>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</si>
  <si>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</si>
  <si>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</si>
  <si>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</si>
  <si>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</si>
  <si>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</si>
  <si>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</si>
  <si>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</si>
  <si>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</si>
  <si>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</si>
  <si>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</si>
  <si>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</si>
  <si>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</si>
  <si>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</si>
  <si>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</si>
  <si>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</si>
  <si>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</si>
  <si>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</si>
  <si>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</si>
  <si>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</si>
  <si>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</si>
  <si>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</si>
  <si>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</si>
  <si>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</si>
  <si>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</si>
  <si>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</si>
  <si>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</si>
  <si>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</si>
  <si>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</si>
  <si>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</si>
  <si>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</si>
  <si>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</si>
  <si>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</si>
  <si>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</si>
  <si>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</si>
  <si>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</si>
  <si>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</si>
  <si>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</si>
  <si>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</si>
  <si>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</si>
  <si>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</si>
  <si>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</si>
  <si>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</si>
  <si>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</si>
  <si>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</si>
  <si>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</si>
  <si>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</si>
  <si>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</si>
  <si>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</si>
  <si>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</si>
  <si>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</si>
  <si>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</si>
  <si>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</si>
  <si>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</si>
  <si>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</si>
  <si>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</si>
  <si>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</si>
  <si>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</si>
  <si>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</si>
  <si>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</si>
  <si>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</si>
  <si>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</si>
  <si>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</si>
  <si>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</si>
  <si>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</si>
  <si>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</si>
  <si>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</si>
  <si>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</si>
  <si>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</si>
  <si>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</si>
  <si>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</si>
  <si>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</si>
  <si>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</si>
  <si>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</si>
  <si>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</si>
  <si>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</si>
  <si>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</si>
  <si>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</si>
  <si>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</si>
  <si>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</si>
  <si>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</si>
  <si>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</si>
  <si>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</si>
  <si>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</si>
  <si>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</si>
  <si>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</si>
  <si>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</si>
  <si>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</si>
  <si>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</si>
  <si>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</si>
  <si>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</si>
  <si>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</si>
  <si>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</si>
  <si>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</si>
  <si>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</si>
  <si>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</si>
  <si>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</si>
  <si>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</si>
  <si>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</si>
  <si>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</si>
  <si>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</si>
  <si>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</si>
  <si>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</si>
  <si>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</si>
  <si>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</si>
  <si>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</si>
  <si>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</si>
  <si>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</si>
  <si>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</si>
  <si>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</si>
  <si>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</si>
  <si>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</si>
  <si>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</si>
  <si>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</si>
  <si>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</si>
  <si>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</si>
  <si>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</si>
  <si>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</si>
  <si>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</si>
  <si>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</si>
  <si>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</si>
  <si>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</si>
  <si>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</si>
  <si>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</si>
  <si>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</si>
  <si>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</si>
  <si>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</si>
  <si>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</si>
  <si>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</si>
  <si>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</si>
  <si>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</si>
  <si>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</si>
  <si>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</si>
  <si>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</si>
  <si>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</si>
  <si>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</si>
  <si>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</si>
  <si>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</si>
  <si>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</si>
  <si>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</si>
  <si>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</si>
  <si>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</si>
  <si>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</si>
  <si>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</si>
  <si>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</si>
  <si>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</si>
  <si>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</si>
  <si>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</si>
  <si>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</si>
  <si>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</si>
  <si>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</si>
  <si>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</si>
  <si>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</si>
  <si>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</si>
  <si>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</si>
  <si>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</si>
  <si>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</si>
  <si>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</si>
  <si>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</si>
  <si>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</si>
  <si>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</si>
  <si>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</si>
  <si>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</si>
  <si>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</si>
  <si>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</si>
  <si>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</si>
  <si>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</si>
  <si>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</si>
  <si>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</si>
  <si>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</si>
  <si>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</si>
  <si>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</si>
  <si>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</si>
  <si>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</si>
  <si>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</si>
  <si>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</si>
  <si>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</si>
  <si>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</si>
  <si>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</si>
  <si>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</si>
  <si>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</si>
  <si>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</si>
  <si>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</si>
  <si>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</si>
  <si>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</si>
  <si>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</si>
  <si>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</si>
  <si>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</si>
  <si>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</si>
  <si>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</si>
  <si>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</si>
  <si>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</si>
  <si>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</si>
  <si>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</si>
  <si>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</si>
  <si>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</si>
  <si>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</si>
  <si>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</si>
  <si>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</si>
  <si>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</si>
  <si>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</si>
  <si>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</si>
  <si>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</si>
  <si>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</si>
  <si>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</si>
  <si>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</si>
  <si>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</si>
  <si>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</si>
  <si>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</si>
  <si>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</si>
  <si>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</si>
  <si>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</si>
  <si>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</si>
  <si>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</si>
  <si>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</si>
  <si>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</si>
  <si>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</si>
  <si>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</si>
  <si>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</si>
  <si>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</si>
  <si>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</si>
  <si>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</si>
  <si>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</si>
  <si>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</si>
  <si>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</si>
  <si>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</si>
  <si>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</si>
  <si>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</si>
  <si>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</si>
  <si>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</si>
  <si>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</si>
  <si>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</si>
  <si>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</si>
  <si>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</si>
  <si>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</si>
  <si>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</si>
  <si>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</si>
  <si>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</si>
  <si>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</si>
  <si>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</si>
  <si>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</si>
  <si>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</si>
  <si>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</si>
  <si>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</si>
  <si>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</si>
  <si>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</si>
  <si>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</si>
  <si>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</si>
  <si>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</si>
  <si>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</si>
  <si>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</si>
  <si>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</si>
  <si>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</si>
  <si>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</si>
  <si>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</si>
  <si>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</si>
  <si>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</si>
  <si>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</si>
  <si>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</si>
  <si>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</si>
  <si>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</si>
  <si>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</si>
  <si>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</si>
  <si>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</si>
  <si>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</si>
  <si>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</si>
  <si>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</si>
  <si>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</si>
  <si>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</si>
  <si>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</si>
  <si>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</si>
  <si>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</si>
  <si>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</si>
  <si>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</si>
  <si>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</si>
  <si>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</si>
  <si>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</si>
  <si>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</si>
  <si>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</si>
  <si>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</si>
  <si>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</si>
  <si>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</si>
  <si>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</si>
  <si>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</si>
  <si>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</si>
  <si>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</si>
  <si>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</si>
  <si>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</si>
  <si>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</si>
  <si>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</si>
  <si>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</si>
  <si>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</si>
  <si>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</si>
  <si>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</si>
  <si>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</si>
  <si>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</si>
  <si>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</si>
  <si>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</si>
  <si>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</si>
  <si>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</si>
  <si>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</si>
  <si>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</si>
  <si>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</si>
  <si>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</si>
  <si>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</si>
  <si>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</si>
  <si>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</si>
  <si>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</si>
  <si>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</si>
  <si>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</si>
  <si>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</si>
  <si>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</si>
  <si>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</si>
  <si>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</si>
  <si>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</si>
  <si>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</si>
  <si>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</si>
  <si>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</si>
  <si>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</si>
  <si>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</si>
  <si>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</si>
  <si>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</si>
  <si>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</si>
  <si>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</si>
  <si>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</si>
  <si>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</si>
  <si>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</si>
  <si>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</si>
  <si>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</si>
  <si>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</si>
  <si>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</si>
  <si>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</si>
  <si>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</si>
  <si>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</si>
  <si>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</si>
  <si>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</si>
  <si>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</si>
  <si>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</si>
  <si>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</si>
  <si>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</si>
  <si>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</si>
  <si>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</si>
  <si>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</si>
  <si>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</si>
  <si>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</si>
  <si>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</si>
  <si>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</si>
  <si>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</si>
  <si>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</si>
  <si>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</si>
  <si>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</si>
  <si>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</si>
  <si>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</si>
  <si>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</si>
  <si>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</si>
  <si>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</si>
  <si>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</si>
  <si>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</si>
  <si>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</si>
  <si>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</si>
  <si>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</si>
  <si>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</si>
  <si>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</si>
  <si>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</si>
  <si>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</si>
  <si>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</si>
  <si>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</si>
  <si>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</si>
  <si>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</si>
  <si>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</si>
  <si>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</si>
  <si>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</si>
  <si>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</si>
  <si>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</si>
  <si>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</si>
  <si>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</si>
  <si>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</si>
  <si>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</si>
  <si>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</si>
  <si>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</si>
  <si>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</si>
  <si>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</si>
  <si>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</si>
  <si>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</si>
  <si>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</si>
  <si>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</si>
  <si>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</si>
  <si>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</si>
  <si>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</si>
  <si>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</si>
  <si>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</si>
  <si>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</si>
  <si>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</si>
  <si>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</si>
  <si>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</si>
  <si>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</si>
  <si>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</si>
  <si>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</si>
  <si>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</si>
  <si>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</si>
  <si>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</si>
  <si>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</si>
  <si>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</si>
  <si>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</si>
  <si>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</si>
  <si>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</si>
  <si>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</si>
  <si>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</si>
  <si>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</si>
  <si>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</si>
  <si>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</si>
  <si>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</si>
  <si>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</si>
  <si>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</si>
  <si>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</si>
  <si>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</si>
  <si>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</si>
  <si>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</si>
  <si>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</si>
  <si>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</si>
  <si>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</si>
  <si>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</si>
  <si>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</si>
  <si>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</si>
  <si>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</si>
  <si>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</si>
  <si>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</si>
  <si>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</si>
  <si>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</si>
  <si>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</si>
  <si>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</si>
  <si>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</si>
  <si>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</si>
  <si>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</si>
  <si>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</si>
  <si>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</si>
  <si>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</si>
  <si>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</si>
  <si>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</si>
  <si>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</si>
  <si>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</si>
  <si>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</si>
  <si>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</si>
  <si>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</si>
  <si>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</si>
  <si>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</si>
  <si>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</si>
  <si>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</si>
  <si>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</si>
  <si>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</si>
  <si>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</si>
  <si>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</si>
  <si>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</si>
  <si>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</si>
  <si>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</si>
  <si>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</si>
  <si>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</si>
  <si>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</si>
  <si>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</si>
  <si>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</si>
  <si>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</si>
  <si>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</si>
  <si>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</si>
  <si>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</si>
  <si>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</si>
  <si>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</si>
  <si>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</si>
  <si>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</si>
  <si>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</si>
  <si>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</si>
  <si>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</si>
  <si>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</si>
  <si>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</si>
  <si>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</si>
  <si>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</si>
  <si>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</si>
  <si>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</si>
  <si>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</si>
  <si>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</si>
  <si>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</si>
  <si>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</si>
  <si>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</si>
  <si>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</si>
  <si>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</si>
  <si>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</si>
  <si>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</si>
  <si>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</si>
  <si>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</si>
  <si>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</si>
  <si>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</si>
  <si>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</si>
  <si>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</si>
  <si>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</si>
  <si>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</si>
  <si>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</si>
  <si>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</si>
  <si>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</si>
  <si>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</si>
  <si>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</si>
  <si>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</si>
  <si>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</si>
  <si>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</si>
  <si>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</si>
  <si>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</si>
  <si>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</si>
  <si>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</si>
  <si>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</si>
  <si>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</si>
  <si>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</si>
  <si>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</si>
  <si>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</si>
  <si>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</si>
  <si>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</si>
  <si>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</si>
  <si>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</si>
  <si>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</si>
  <si>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</si>
  <si>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</si>
  <si>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</si>
  <si>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</si>
  <si>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</si>
  <si>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</si>
  <si>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</si>
  <si>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</si>
  <si>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</si>
  <si>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</si>
  <si>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</si>
  <si>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</si>
  <si>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</si>
  <si>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</si>
  <si>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</si>
  <si>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</si>
  <si>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</si>
  <si>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</si>
  <si>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</si>
  <si>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</si>
  <si>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</si>
  <si>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</si>
  <si>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</si>
  <si>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</si>
  <si>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</si>
  <si>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</si>
  <si>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</si>
  <si>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</si>
  <si>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</si>
  <si>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</si>
  <si>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</si>
  <si>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</si>
  <si>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</si>
  <si>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</si>
  <si>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</si>
  <si>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</si>
  <si>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</si>
  <si>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</si>
  <si>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</si>
  <si>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</si>
  <si>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</si>
  <si>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</si>
  <si>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</si>
  <si>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</si>
  <si>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</si>
  <si>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</si>
  <si>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</si>
  <si>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</si>
  <si>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</si>
  <si>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</si>
  <si>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</si>
  <si>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</si>
  <si>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</si>
  <si>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</si>
  <si>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</si>
  <si>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</si>
  <si>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</si>
  <si>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</si>
  <si>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</si>
  <si>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</si>
  <si>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</si>
  <si>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</si>
  <si>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</si>
  <si>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</si>
  <si>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</si>
  <si>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</si>
  <si>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</si>
  <si>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</si>
  <si>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</si>
  <si>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</si>
  <si>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</si>
  <si>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</si>
  <si>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</si>
  <si>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</si>
  <si>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</si>
  <si>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</si>
  <si>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</si>
  <si>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</si>
  <si>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</si>
  <si>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</si>
  <si>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</si>
  <si>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</si>
  <si>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</si>
  <si>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</si>
  <si>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</si>
  <si>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</si>
  <si>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</si>
  <si>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</si>
  <si>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</si>
  <si>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</si>
  <si>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</si>
  <si>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</si>
  <si>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</si>
  <si>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</si>
  <si>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</si>
  <si>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</si>
  <si>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</si>
  <si>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</si>
  <si>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</si>
  <si>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</si>
  <si>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</si>
  <si>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</si>
  <si>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</si>
  <si>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</si>
  <si>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</si>
  <si>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</si>
  <si>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</si>
  <si>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</si>
  <si>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</si>
  <si>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</si>
  <si>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</si>
  <si>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</si>
  <si>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</si>
  <si>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</si>
  <si>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</si>
  <si>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</si>
  <si>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</si>
  <si>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</si>
  <si>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</si>
  <si>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</si>
  <si>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</si>
  <si>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</si>
  <si>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</si>
  <si>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</si>
  <si>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</si>
  <si>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</si>
  <si>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</si>
  <si>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</si>
  <si>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</si>
  <si>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</si>
  <si>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</si>
  <si>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</si>
  <si>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</si>
  <si>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</si>
  <si>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</si>
  <si>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</si>
  <si>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</si>
  <si>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</si>
  <si>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</si>
  <si>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</si>
  <si>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</si>
  <si>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</si>
  <si>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</si>
  <si>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</si>
  <si>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</si>
  <si>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</si>
  <si>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</si>
  <si>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</si>
  <si>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</si>
  <si>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</si>
  <si>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</si>
  <si>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</si>
  <si>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</si>
  <si>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</si>
  <si>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</si>
  <si>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</si>
  <si>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</si>
  <si>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</si>
  <si>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</si>
  <si>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</si>
  <si>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</si>
  <si>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</si>
  <si>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</si>
  <si>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</si>
  <si>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</si>
  <si>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</si>
  <si>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</si>
  <si>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</si>
  <si>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</si>
  <si>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</si>
  <si>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</si>
  <si>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</si>
  <si>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</si>
  <si>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</si>
  <si>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</si>
  <si>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</si>
  <si>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</si>
  <si>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</si>
  <si>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</si>
  <si>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</si>
  <si>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</si>
  <si>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</si>
  <si>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</si>
  <si>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</si>
  <si>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</si>
  <si>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</si>
  <si>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</si>
  <si>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</si>
  <si>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</si>
  <si>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</si>
  <si>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</si>
  <si>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</si>
  <si>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</si>
  <si>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</si>
  <si>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</si>
  <si>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</si>
  <si>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</si>
  <si>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</si>
  <si>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</si>
  <si>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</si>
  <si>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</si>
  <si>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</si>
  <si>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</si>
  <si>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</si>
  <si>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</si>
  <si>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</si>
  <si>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</si>
  <si>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</si>
  <si>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</si>
  <si>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</si>
  <si>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</si>
  <si>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</si>
  <si>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</si>
  <si>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</si>
  <si>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</si>
  <si>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</si>
  <si>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</si>
  <si>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</si>
  <si>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</si>
  <si>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</si>
  <si>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</si>
  <si>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</si>
  <si>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</si>
  <si>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</si>
  <si>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</si>
  <si>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</si>
  <si>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</si>
  <si>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</si>
  <si>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</si>
  <si>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</si>
  <si>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</si>
  <si>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</si>
  <si>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</si>
  <si>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</si>
  <si>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</si>
  <si>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</si>
  <si>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</si>
  <si>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</si>
  <si>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</si>
  <si>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</si>
  <si>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</si>
  <si>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</si>
  <si>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</si>
  <si>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</si>
  <si>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</si>
  <si>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</si>
  <si>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</si>
  <si>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</si>
  <si>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</si>
  <si>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</si>
  <si>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</si>
  <si>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</si>
  <si>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</si>
  <si>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</si>
  <si>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</si>
  <si>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</si>
  <si>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</si>
  <si>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</si>
  <si>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</si>
  <si>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</si>
  <si>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</si>
  <si>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</si>
  <si>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</si>
  <si>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</si>
  <si>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</si>
  <si>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</si>
  <si>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</si>
  <si>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</si>
  <si>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</si>
  <si>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</si>
  <si>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</si>
  <si>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</si>
  <si>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</si>
  <si>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</si>
  <si>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</si>
  <si>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</si>
  <si>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</si>
  <si>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</si>
  <si>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</si>
  <si>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</si>
  <si>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</si>
  <si>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</si>
  <si>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</si>
  <si>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</si>
  <si>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</si>
  <si>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</si>
  <si>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</si>
  <si>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</si>
  <si>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</si>
  <si>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</si>
  <si>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</si>
  <si>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</si>
  <si>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</si>
  <si>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</si>
  <si>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</si>
  <si>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</si>
  <si>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</si>
  <si>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</si>
  <si>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</si>
  <si>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</si>
  <si>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</si>
  <si>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</si>
  <si>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</si>
  <si>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</si>
  <si>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</si>
  <si>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</si>
  <si>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</si>
  <si>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</si>
  <si>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</si>
  <si>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</si>
  <si>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</si>
  <si>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</si>
  <si>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</si>
  <si>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</si>
  <si>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</si>
  <si>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</si>
  <si>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</si>
  <si>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</si>
  <si>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</si>
  <si>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</si>
  <si>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</si>
  <si>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</si>
  <si>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</si>
  <si>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</si>
  <si>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</si>
  <si>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</si>
  <si>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</si>
  <si>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</si>
  <si>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</si>
  <si>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</si>
  <si>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</si>
  <si>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</si>
  <si>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</si>
  <si>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</si>
  <si>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</si>
  <si>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</si>
  <si>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</si>
  <si>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</si>
  <si>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</si>
  <si>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</si>
  <si>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</si>
  <si>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</si>
  <si>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</si>
  <si>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</si>
  <si>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</si>
  <si>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</si>
  <si>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</si>
  <si>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</si>
  <si>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</si>
  <si>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</si>
  <si>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</si>
  <si>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</si>
  <si>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</si>
  <si>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</si>
  <si>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</si>
  <si>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</si>
  <si>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</si>
  <si>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</si>
  <si>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</si>
  <si>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</si>
  <si>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</si>
  <si>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</si>
  <si>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</si>
  <si>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</si>
  <si>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</si>
  <si>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</si>
  <si>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</si>
  <si>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</si>
  <si>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</si>
  <si>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</si>
  <si>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</si>
  <si>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</si>
  <si>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</si>
  <si>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</si>
  <si>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</si>
  <si>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</si>
  <si>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</si>
  <si>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</si>
  <si>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</si>
  <si>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</si>
  <si>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</si>
  <si>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</si>
  <si>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</si>
  <si>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</si>
  <si>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</si>
  <si>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</si>
  <si>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</si>
  <si>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</si>
  <si>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</si>
  <si>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</si>
  <si>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</si>
  <si>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</si>
  <si>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</si>
  <si>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</si>
  <si>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</si>
  <si>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</si>
  <si>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</si>
  <si>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</si>
  <si>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</si>
  <si>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</si>
  <si>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</si>
  <si>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</si>
  <si>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</si>
  <si>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</si>
  <si>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</si>
  <si>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</si>
  <si>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</si>
  <si>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</si>
  <si>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</si>
  <si>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</si>
  <si>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</si>
  <si>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</si>
  <si>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</si>
  <si>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</si>
  <si>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</si>
  <si>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</si>
  <si>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</si>
  <si>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</si>
  <si>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</si>
  <si>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</si>
  <si>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</si>
  <si>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</si>
  <si>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</si>
  <si>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</si>
  <si>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</si>
  <si>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</si>
  <si>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</si>
  <si>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</si>
  <si>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</si>
  <si>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</si>
  <si>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</si>
  <si>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</si>
  <si>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</si>
  <si>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</si>
  <si>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</si>
  <si>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</si>
  <si>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</si>
  <si>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</si>
  <si>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</si>
  <si>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</si>
  <si>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</si>
  <si>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</si>
  <si>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</si>
  <si>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</si>
  <si>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</si>
  <si>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</si>
  <si>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</si>
  <si>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</si>
  <si>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</si>
  <si>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</si>
  <si>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</si>
  <si>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</si>
  <si>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</si>
  <si>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</si>
  <si>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</si>
  <si>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</si>
  <si>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</si>
  <si>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</si>
  <si>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</si>
  <si>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</si>
  <si>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</si>
  <si>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</si>
  <si>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</si>
  <si>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</si>
  <si>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</si>
  <si>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</si>
  <si>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</si>
  <si>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</si>
  <si>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</si>
  <si>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</si>
  <si>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</si>
  <si>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</si>
  <si>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</si>
  <si>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</si>
  <si>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</si>
  <si>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</si>
  <si>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</si>
  <si>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</si>
  <si>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</si>
  <si>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</si>
  <si>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</si>
  <si>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</si>
  <si>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</si>
  <si>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</si>
  <si>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</si>
  <si>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</si>
  <si>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</si>
  <si>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</si>
  <si>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</si>
  <si>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</si>
  <si>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</si>
  <si>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</si>
  <si>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</si>
  <si>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</si>
  <si>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</si>
  <si>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</si>
  <si>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</si>
  <si>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</si>
  <si>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</si>
  <si>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</si>
  <si>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</si>
  <si>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</si>
  <si>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</si>
  <si>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</si>
  <si>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</si>
  <si>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</si>
  <si>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</si>
  <si>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</si>
  <si>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</si>
  <si>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</si>
  <si>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</si>
  <si>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</si>
  <si>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</si>
  <si>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</si>
  <si>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</si>
  <si>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</si>
  <si>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</si>
  <si>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</si>
  <si>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</si>
  <si>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</si>
  <si>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</si>
  <si>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</si>
  <si>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</si>
  <si>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</si>
  <si>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</si>
  <si>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</si>
  <si>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</si>
  <si>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</si>
  <si>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</si>
  <si>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</si>
  <si>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</si>
  <si>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</si>
  <si>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</si>
  <si>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</si>
  <si>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</si>
  <si>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</si>
  <si>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</si>
  <si>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</si>
  <si>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</si>
  <si>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</si>
  <si>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</si>
  <si>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</si>
  <si>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</si>
  <si>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</si>
  <si>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</si>
  <si>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</si>
  <si>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</si>
  <si>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</si>
  <si>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</si>
  <si>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</si>
  <si>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</si>
  <si>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</si>
  <si>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</si>
  <si>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</si>
  <si>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</si>
  <si>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</si>
  <si>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</si>
  <si>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</si>
  <si>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</si>
  <si>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</si>
  <si>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</si>
  <si>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</si>
  <si>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</si>
  <si>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</si>
  <si>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</si>
  <si>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</si>
  <si>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</si>
  <si>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</si>
  <si>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</si>
  <si>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</si>
  <si>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</si>
  <si>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</si>
  <si>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</si>
  <si>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</si>
  <si>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</si>
  <si>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</si>
  <si>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</si>
  <si>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</si>
  <si>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</si>
  <si>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</si>
  <si>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</si>
  <si>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</si>
  <si>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</si>
  <si>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</si>
  <si>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</si>
  <si>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</si>
  <si>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</si>
  <si>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</si>
  <si>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</si>
  <si>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</si>
  <si>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</si>
  <si>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</si>
  <si>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</si>
  <si>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</si>
  <si>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</si>
  <si>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</si>
  <si>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</si>
  <si>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</si>
  <si>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</si>
  <si>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</si>
  <si>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</si>
  <si>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</si>
  <si>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</si>
  <si>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</si>
  <si>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</si>
  <si>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</si>
  <si>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</si>
  <si>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</si>
  <si>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</si>
  <si>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</si>
  <si>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</si>
  <si>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</si>
  <si>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</si>
  <si>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</si>
  <si>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</si>
  <si>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</si>
  <si>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</si>
  <si>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</si>
  <si>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</si>
  <si>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</si>
  <si>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</si>
  <si>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</si>
  <si>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</si>
  <si>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</si>
  <si>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</si>
  <si>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</si>
  <si>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</si>
  <si>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</si>
  <si>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</si>
  <si>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</si>
  <si>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</si>
  <si>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</si>
  <si>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</si>
  <si>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</si>
  <si>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</si>
  <si>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</si>
  <si>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</si>
  <si>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</si>
  <si>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</si>
  <si>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</si>
  <si>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</si>
  <si>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</si>
  <si>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</si>
  <si>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</si>
  <si>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</si>
  <si>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</si>
  <si>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</si>
  <si>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</si>
  <si>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</si>
  <si>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</si>
  <si>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</si>
  <si>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</si>
  <si>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</si>
  <si>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</si>
  <si>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</si>
  <si>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</si>
  <si>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</si>
  <si>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</si>
  <si>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</si>
  <si>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</si>
  <si>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</si>
  <si>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</si>
  <si>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</si>
  <si>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</si>
  <si>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</si>
  <si>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</si>
  <si>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</si>
  <si>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</si>
  <si>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</si>
  <si>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</si>
  <si>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</si>
  <si>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</si>
  <si>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</si>
  <si>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</si>
  <si>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</si>
  <si>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</si>
  <si>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</si>
  <si>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</si>
  <si>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</si>
  <si>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</si>
  <si>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</si>
  <si>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</si>
  <si>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</si>
  <si>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</si>
  <si>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</si>
  <si>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</si>
  <si>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</si>
  <si>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</si>
  <si>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</si>
  <si>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</si>
  <si>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</si>
  <si>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</si>
  <si>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</si>
  <si>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</si>
  <si>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</si>
  <si>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</si>
  <si>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</si>
  <si>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</si>
  <si>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</si>
  <si>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</si>
  <si>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</si>
  <si>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</si>
  <si>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</si>
  <si>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</si>
  <si>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</si>
  <si>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</si>
  <si>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</si>
  <si>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</si>
  <si>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</si>
  <si>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</si>
  <si>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</si>
  <si>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</si>
  <si>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</si>
  <si>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</si>
  <si>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</si>
  <si>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</si>
  <si>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</si>
  <si>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</si>
  <si>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</si>
  <si>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</si>
  <si>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</si>
  <si>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</si>
  <si>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</si>
  <si>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</si>
  <si>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</si>
  <si>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</si>
  <si>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</si>
  <si>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</si>
  <si>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</si>
  <si>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</si>
  <si>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</si>
  <si>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</si>
  <si>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</si>
  <si>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</si>
  <si>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</si>
  <si>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</si>
  <si>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</si>
  <si>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</si>
  <si>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</si>
  <si>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</si>
  <si>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</si>
  <si>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</si>
  <si>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</si>
  <si>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</si>
  <si>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</si>
  <si>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</si>
  <si>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</si>
  <si>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</si>
  <si>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</si>
  <si>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</si>
  <si>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</si>
  <si>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</si>
  <si>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</si>
  <si>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</si>
  <si>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</si>
  <si>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</si>
  <si>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</si>
  <si>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</si>
  <si>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</si>
  <si>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</si>
  <si>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</si>
  <si>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</si>
  <si>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</si>
  <si>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</si>
  <si>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</si>
  <si>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</si>
  <si>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</si>
  <si>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</si>
  <si>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</si>
  <si>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</si>
  <si>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</si>
  <si>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</si>
  <si>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</si>
  <si>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</si>
  <si>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</si>
  <si>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</si>
  <si>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</si>
  <si>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</si>
  <si>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</si>
  <si>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</si>
  <si>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</si>
  <si>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</si>
  <si>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</si>
  <si>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</si>
  <si>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</si>
  <si>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</si>
  <si>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</si>
  <si>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</si>
  <si>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</si>
  <si>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</si>
  <si>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</si>
  <si>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</si>
  <si>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</si>
  <si>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</si>
  <si>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</si>
  <si>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</si>
  <si>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</si>
  <si>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</si>
  <si>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</si>
  <si>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</si>
  <si>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</si>
  <si>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</si>
  <si>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</si>
  <si>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</si>
  <si>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</si>
  <si>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</si>
  <si>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</si>
  <si>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</si>
  <si>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</si>
  <si>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</si>
  <si>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</si>
  <si>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</si>
  <si>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</si>
  <si>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</si>
  <si>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</si>
  <si>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</si>
  <si>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</si>
  <si>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</si>
  <si>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</si>
  <si>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</si>
  <si>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</si>
  <si>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</si>
  <si>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</si>
  <si>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</si>
  <si>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</si>
  <si>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</si>
  <si>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</si>
  <si>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</si>
  <si>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</si>
  <si>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</si>
  <si>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</si>
  <si>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</si>
  <si>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</si>
  <si>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</si>
  <si>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</si>
  <si>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</si>
  <si>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</si>
  <si>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</si>
  <si>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</si>
  <si>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</si>
  <si>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</si>
  <si>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</si>
  <si>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</si>
  <si>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</si>
  <si>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</si>
  <si>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</si>
  <si>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</si>
  <si>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</si>
  <si>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</si>
  <si>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</si>
  <si>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</si>
  <si>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</si>
  <si>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</si>
  <si>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</si>
  <si>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</si>
  <si>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</si>
  <si>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</si>
  <si>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</si>
  <si>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</si>
  <si>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</si>
  <si>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</si>
  <si>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</si>
  <si>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</si>
  <si>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</si>
  <si>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</si>
  <si>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</si>
  <si>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</si>
  <si>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</si>
  <si>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</si>
  <si>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</si>
  <si>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</si>
  <si>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</si>
  <si>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</si>
  <si>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</si>
  <si>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</si>
  <si>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</si>
  <si>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</si>
  <si>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</si>
  <si>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</si>
  <si>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</si>
  <si>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</si>
  <si>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</si>
  <si>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</si>
  <si>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</si>
  <si>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</si>
  <si>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</si>
  <si>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</si>
  <si>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</si>
  <si>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</si>
  <si>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</si>
  <si>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</si>
  <si>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</si>
  <si>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</si>
  <si>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</si>
  <si>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</si>
  <si>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</si>
  <si>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</si>
  <si>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</si>
  <si>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</si>
  <si>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</si>
  <si>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</si>
  <si>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</si>
  <si>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</si>
  <si>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</si>
  <si>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</si>
  <si>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</si>
  <si>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</si>
  <si>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</si>
  <si>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</si>
  <si>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</si>
  <si>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</si>
  <si>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</si>
  <si>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</si>
  <si>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</si>
  <si>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</si>
  <si>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</si>
  <si>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</si>
  <si>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</si>
  <si>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</si>
  <si>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</si>
  <si>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</si>
  <si>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</si>
  <si>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</si>
  <si>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</si>
  <si>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</si>
  <si>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</si>
  <si>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</si>
  <si>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</si>
  <si>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</si>
  <si>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</si>
  <si>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</si>
  <si>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</si>
  <si>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</si>
  <si>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</si>
  <si>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</si>
  <si>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</si>
  <si>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</si>
  <si>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</si>
  <si>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</si>
  <si>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</si>
  <si>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</si>
  <si>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</si>
  <si>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</si>
  <si>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</si>
  <si>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</si>
  <si>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</si>
  <si>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</si>
  <si>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</si>
  <si>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</si>
  <si>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</si>
  <si>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</si>
  <si>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</si>
  <si>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</si>
  <si>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</si>
  <si>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</si>
  <si>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</si>
  <si>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</si>
  <si>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</si>
  <si>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</si>
  <si>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</si>
  <si>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</si>
  <si>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</si>
  <si>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</si>
  <si>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</si>
  <si>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</si>
  <si>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</si>
  <si>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</si>
  <si>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</si>
  <si>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</si>
  <si>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</si>
  <si>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</si>
  <si>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</si>
  <si>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</si>
  <si>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</si>
  <si>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</si>
  <si>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</si>
  <si>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</si>
  <si>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</si>
  <si>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</si>
  <si>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</si>
  <si>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</si>
  <si>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</si>
  <si>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RUSSELL LEIGH &amp; ASSOCIATES LLC</t>
  </si>
  <si>
    <t>RUSS LEIGH</t>
  </si>
  <si>
    <t>228 E MAIN ST</t>
  </si>
  <si>
    <t>HOOPESTON</t>
  </si>
  <si>
    <t>IL</t>
  </si>
  <si>
    <t>217-283-9336</t>
  </si>
  <si>
    <t>217-283-9736</t>
  </si>
  <si>
    <t>admin@russleigh.com</t>
  </si>
  <si>
    <t>X</t>
  </si>
  <si>
    <t>065.018319</t>
  </si>
  <si>
    <t>Russell Leigh &amp; Associates LLC</t>
  </si>
  <si>
    <t>PIATT</t>
  </si>
  <si>
    <t>201 S CHAMPAIGN ST</t>
  </si>
  <si>
    <t>BEMENT</t>
  </si>
  <si>
    <t>SHEILA GREENWOOD</t>
  </si>
  <si>
    <t>sgreenwood@bement.k12.il.us</t>
  </si>
  <si>
    <t>217-678-4200</t>
  </si>
  <si>
    <t>217-678-4251</t>
  </si>
  <si>
    <t>2009A Taxable Funding Bonds</t>
  </si>
  <si>
    <t>2009B Working Cash Refunding Bonds</t>
  </si>
  <si>
    <t>2016 Working Cash Bonds</t>
  </si>
  <si>
    <t>Taxable General Obligation Bonds, Series 2017B (QZAB)</t>
  </si>
  <si>
    <t>2017 General Obligation School Bonds</t>
  </si>
  <si>
    <t>3, 6</t>
  </si>
  <si>
    <t>No applicable contracts paid in current year.</t>
  </si>
  <si>
    <t>Cerro Gordo School District #100</t>
  </si>
  <si>
    <t>Aramark</t>
  </si>
  <si>
    <t>Macon Piatt Special Education Cooperative</t>
  </si>
  <si>
    <t>Cerro Gordo &amp; Education for Employment System #330</t>
  </si>
  <si>
    <t>Auditor's Questionnaire - #20 - Other Findings</t>
  </si>
  <si>
    <t>Misposted some salaries to purchased service accounts.</t>
  </si>
  <si>
    <t>Activity fund had an account with a negative balance.</t>
  </si>
  <si>
    <t>Misposted real estate taxes across funds.</t>
  </si>
  <si>
    <t>Page 10 - Acct 1719 - Admissions - Other</t>
  </si>
  <si>
    <t>Col 10 - Educational</t>
  </si>
  <si>
    <t>Miscellaneous Athletic Revenue - $5,902</t>
  </si>
  <si>
    <t>Page 11 - Acct 1999 - Other Local Revenues</t>
  </si>
  <si>
    <t>Refunds &amp; Reimbursements - $2,838</t>
  </si>
  <si>
    <t>Col 20 - Operations &amp; Maintenance</t>
  </si>
  <si>
    <t>Refunds &amp; Reimbursements - $9,217</t>
  </si>
  <si>
    <t>Page 11 - Acct 3299 - CTE - Other</t>
  </si>
  <si>
    <t>Other Vocational Revenue - $6,064</t>
  </si>
  <si>
    <t>Page 12 - Acct 3999 - Other Restricted Revenue from State Sources</t>
  </si>
  <si>
    <t>State Library Grant - $750</t>
  </si>
  <si>
    <t>Other State Programs - $317</t>
  </si>
  <si>
    <t>AUDITCHECK Tab - #13 Contracts Paid Error</t>
  </si>
  <si>
    <t>No applicable contracts paid in the current year.</t>
  </si>
  <si>
    <t>Short-Term Long-Term Debt Tab</t>
  </si>
  <si>
    <t>Other Short-Term Debt Issued/Retired</t>
  </si>
  <si>
    <t>Short-Term loan issued for the purchase of copiers.</t>
  </si>
  <si>
    <t>Bement CUSD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</si>
</sst>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91">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49" fontId="2" fillId="0" borderId="157" xfId="17" applyNumberFormat="1" applyFont="1" applyBorder="1" applyAlignment="1" applyProtection="1">
      <alignment horizontal="center" vertical="top"/>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0" fontId="1" fillId="0" borderId="157" xfId="17" applyFont="1" applyBorder="1" applyAlignment="1" applyProtection="1">
      <alignment horizontal="left" vertical="top" wrapText="1"/>
      <protection locked="0"/>
    </xf>
    <xf numFmtId="0" fontId="66" fillId="0" borderId="0" xfId="0" applyFont="1"/>
    <xf numFmtId="0" fontId="75" fillId="0" borderId="0" xfId="0" applyFont="1"/>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14"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4"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14" fillId="0" borderId="20" xfId="12" applyFont="1" applyBorder="1" applyAlignment="1" applyProtection="1">
      <alignment vertical="center"/>
    </xf>
    <xf numFmtId="180" fontId="13" fillId="0" borderId="19" xfId="12"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0" fontId="0" fillId="0" borderId="0" xfId="0" applyBorder="1" applyAlignment="1">
      <alignment horizontal="center" vertical="center"/>
    </xf>
    <xf numFmtId="49" fontId="13" fillId="0" borderId="0" xfId="12" applyNumberFormat="1" applyFont="1" applyBorder="1" applyAlignment="1" applyProtection="1">
      <alignment horizontal="center" vertical="center"/>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13" fillId="0" borderId="18" xfId="0"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3" fillId="0" borderId="19" xfId="12" applyNumberFormat="1" applyFont="1" applyBorder="1" applyAlignment="1" applyProtection="1">
      <alignment horizontal="left" vertical="center"/>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17" xfId="12" quotePrefix="1"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0" fontId="65" fillId="12" borderId="13" xfId="9" applyFont="1" applyFill="1" applyBorder="1" applyAlignment="1">
      <alignment horizontal="center" vertical="center"/>
    </xf>
    <xf numFmtId="0" fontId="57" fillId="12" borderId="14" xfId="0" applyFont="1" applyFill="1" applyBorder="1" applyAlignment="1">
      <alignment horizontal="center" vertical="center"/>
    </xf>
    <xf numFmtId="0" fontId="64" fillId="6" borderId="13" xfId="0" applyFont="1" applyFill="1" applyBorder="1" applyAlignment="1" applyProtection="1">
      <alignment horizontal="left" vertical="center" wrapText="1"/>
    </xf>
    <xf numFmtId="49" fontId="65" fillId="12" borderId="13" xfId="0" applyNumberFormat="1" applyFont="1" applyFill="1" applyBorder="1" applyAlignment="1" applyProtection="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5" xfId="3" applyNumberFormat="1" applyFont="1" applyBorder="1" applyAlignment="1" applyProtection="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3" fontId="55" fillId="0" borderId="77" xfId="3" applyNumberFormat="1" applyFont="1" applyBorder="1" applyAlignment="1" applyProtection="1">
      <alignment horizontal="right" indent="1"/>
      <protection locked="0"/>
    </xf>
    <xf numFmtId="0" fontId="54" fillId="0" borderId="0" xfId="3" applyFont="1" applyAlignment="1" applyProtection="1">
      <alignment horizontal="center"/>
    </xf>
    <xf numFmtId="0" fontId="54" fillId="0" borderId="78" xfId="3" applyFont="1" applyBorder="1" applyAlignment="1" applyProtection="1">
      <alignment horizontal="center"/>
    </xf>
    <xf numFmtId="0" fontId="62" fillId="0" borderId="0" xfId="3" applyFont="1" applyAlignment="1" applyProtection="1">
      <alignment horizontal="left" vertical="center" wrapText="1"/>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790575</xdr:colOff>
          <xdr:row>4</xdr:row>
          <xdr:rowOff>38100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1986" t="s">
        <v>405</v>
      </c>
      <c r="J1" s="1987"/>
      <c r="K1" s="1987"/>
      <c r="L1" s="1987"/>
      <c r="M1" s="1987"/>
      <c r="N1" s="1987"/>
      <c r="O1" s="1987"/>
      <c r="P1" s="1987"/>
      <c r="Q1" s="1987"/>
      <c r="R1" s="1987"/>
      <c r="S1" s="1987"/>
    </row>
    <row r="2" spans="1:28" ht="12" customHeight="1" x14ac:dyDescent="0.2">
      <c r="A2" s="47" t="s">
        <v>1991</v>
      </c>
      <c r="D2" s="48"/>
      <c r="I2" s="1988" t="s">
        <v>979</v>
      </c>
      <c r="J2" s="1987"/>
      <c r="K2" s="1987"/>
      <c r="L2" s="1987"/>
      <c r="M2" s="1987"/>
      <c r="N2" s="1987"/>
      <c r="O2" s="1987"/>
      <c r="P2" s="1987"/>
      <c r="Q2" s="1987"/>
      <c r="R2" s="1987"/>
      <c r="S2" s="1987"/>
    </row>
    <row r="3" spans="1:28" ht="12" customHeight="1" x14ac:dyDescent="0.2">
      <c r="A3" s="155" t="s">
        <v>1943</v>
      </c>
      <c r="B3" s="156"/>
      <c r="C3" s="156"/>
      <c r="D3" s="157"/>
      <c r="I3" s="1988" t="s">
        <v>52</v>
      </c>
      <c r="J3" s="1987"/>
      <c r="K3" s="1987"/>
      <c r="L3" s="1987"/>
      <c r="M3" s="1987"/>
      <c r="N3" s="1987"/>
      <c r="O3" s="1987"/>
      <c r="P3" s="1987"/>
      <c r="Q3" s="1987"/>
      <c r="R3" s="1987"/>
      <c r="S3" s="1987"/>
    </row>
    <row r="4" spans="1:28" ht="12" customHeight="1" x14ac:dyDescent="0.2">
      <c r="A4" s="37"/>
      <c r="I4" s="1988" t="s">
        <v>524</v>
      </c>
      <c r="J4" s="1987"/>
      <c r="K4" s="1987"/>
      <c r="L4" s="1987"/>
      <c r="M4" s="1987"/>
      <c r="N4" s="1987"/>
      <c r="O4" s="1987"/>
      <c r="P4" s="1987"/>
      <c r="Q4" s="1987"/>
      <c r="R4" s="1987"/>
      <c r="S4" s="1987"/>
    </row>
    <row r="5" spans="1:28" ht="14.1" customHeight="1" x14ac:dyDescent="0.2">
      <c r="B5" s="104" t="s">
        <v>2073</v>
      </c>
      <c r="C5" s="26" t="s">
        <v>910</v>
      </c>
      <c r="D5" s="84"/>
      <c r="E5" s="84"/>
      <c r="H5" s="38"/>
      <c r="I5" s="1996" t="s">
        <v>680</v>
      </c>
      <c r="J5" s="1995"/>
      <c r="K5" s="1995"/>
      <c r="L5" s="1995"/>
      <c r="M5" s="1995"/>
      <c r="N5" s="1995"/>
      <c r="O5" s="1995"/>
      <c r="P5" s="1995"/>
      <c r="Q5" s="1995"/>
      <c r="R5" s="1995"/>
      <c r="S5" s="1995"/>
    </row>
    <row r="6" spans="1:28" ht="14.1" customHeight="1" x14ac:dyDescent="0.2">
      <c r="B6" s="104"/>
      <c r="C6" s="26" t="s">
        <v>911</v>
      </c>
      <c r="D6" s="84"/>
      <c r="E6" s="84"/>
      <c r="I6" s="1994" t="s">
        <v>883</v>
      </c>
      <c r="J6" s="1995"/>
      <c r="K6" s="1995"/>
      <c r="L6" s="1995"/>
      <c r="M6" s="1995"/>
      <c r="N6" s="1995"/>
      <c r="O6" s="1995"/>
      <c r="P6" s="1995"/>
      <c r="Q6" s="1995"/>
      <c r="R6" s="1995"/>
      <c r="S6" s="1995"/>
    </row>
    <row r="7" spans="1:28" ht="12.2" customHeight="1" x14ac:dyDescent="0.2">
      <c r="I7" s="1989">
        <v>43646</v>
      </c>
      <c r="J7" s="1990"/>
      <c r="K7" s="1990"/>
      <c r="L7" s="1990"/>
      <c r="M7" s="1990"/>
      <c r="N7" s="1990"/>
      <c r="O7" s="1990"/>
      <c r="P7" s="1990"/>
      <c r="Q7" s="1990"/>
      <c r="R7" s="1990"/>
      <c r="S7" s="1990"/>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91" t="s">
        <v>674</v>
      </c>
      <c r="J9" s="1992"/>
      <c r="K9" s="1992"/>
      <c r="L9" s="1992"/>
      <c r="M9" s="1992"/>
      <c r="N9" s="1992"/>
      <c r="O9" s="1992"/>
      <c r="P9" s="1992"/>
      <c r="Q9" s="1992"/>
      <c r="R9" s="1992"/>
      <c r="S9" s="1993"/>
      <c r="T9" s="2007" t="s">
        <v>533</v>
      </c>
      <c r="U9" s="2008"/>
      <c r="V9" s="2008"/>
      <c r="W9" s="2008"/>
      <c r="X9" s="2008"/>
      <c r="Y9" s="2008"/>
      <c r="Z9" s="2008"/>
      <c r="AA9" s="2009"/>
    </row>
    <row r="10" spans="1:28" ht="13.5" customHeight="1" x14ac:dyDescent="0.2">
      <c r="A10" s="2014" t="s">
        <v>675</v>
      </c>
      <c r="B10" s="2015"/>
      <c r="C10" s="2015"/>
      <c r="D10" s="2015"/>
      <c r="E10" s="2015"/>
      <c r="F10" s="2015"/>
      <c r="G10" s="2015"/>
      <c r="H10" s="2016"/>
      <c r="I10" s="29"/>
      <c r="J10" s="30"/>
      <c r="K10" s="28"/>
      <c r="R10" s="30"/>
      <c r="S10" s="30"/>
      <c r="T10" s="2010"/>
      <c r="U10" s="1995"/>
      <c r="V10" s="1995"/>
      <c r="W10" s="1995"/>
      <c r="X10" s="1995"/>
      <c r="Y10" s="1995"/>
      <c r="Z10" s="1995"/>
      <c r="AA10" s="2001"/>
    </row>
    <row r="11" spans="1:28" ht="14.25" customHeight="1" x14ac:dyDescent="0.2">
      <c r="A11" s="2017" t="s">
        <v>955</v>
      </c>
      <c r="B11" s="2018"/>
      <c r="C11" s="2018"/>
      <c r="D11" s="2018"/>
      <c r="E11" s="2018"/>
      <c r="F11" s="2018"/>
      <c r="G11" s="2018"/>
      <c r="H11" s="2019"/>
      <c r="I11" s="27"/>
      <c r="J11" s="74"/>
      <c r="K11" s="27"/>
      <c r="O11" s="148" t="s">
        <v>2073</v>
      </c>
      <c r="P11" s="100" t="s">
        <v>201</v>
      </c>
      <c r="Q11" s="30"/>
      <c r="R11" s="28"/>
      <c r="S11" s="27"/>
      <c r="T11" s="2011"/>
      <c r="U11" s="2012"/>
      <c r="V11" s="2012"/>
      <c r="W11" s="2012"/>
      <c r="X11" s="2012"/>
      <c r="Y11" s="2012"/>
      <c r="Z11" s="2012"/>
      <c r="AA11" s="2013"/>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21">
        <v>39074005026</v>
      </c>
      <c r="B13" s="2022"/>
      <c r="C13" s="2022"/>
      <c r="D13" s="2022"/>
      <c r="E13" s="2022"/>
      <c r="F13" s="2022"/>
      <c r="G13" s="2022"/>
      <c r="H13" s="2023"/>
      <c r="I13" s="31"/>
      <c r="J13" s="30"/>
      <c r="K13" s="28"/>
      <c r="L13" s="30"/>
      <c r="M13" s="30"/>
      <c r="N13" s="30"/>
      <c r="O13" s="30"/>
      <c r="P13" s="30"/>
      <c r="Q13" s="30"/>
      <c r="R13" s="30"/>
      <c r="S13" s="30"/>
      <c r="T13" s="2026" t="s">
        <v>2065</v>
      </c>
      <c r="U13" s="2027"/>
      <c r="V13" s="2027"/>
      <c r="W13" s="2027"/>
      <c r="X13" s="2027"/>
      <c r="Y13" s="2028"/>
      <c r="Z13" s="2028"/>
      <c r="AA13" s="2029"/>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20" t="s">
        <v>2076</v>
      </c>
      <c r="B15" s="2024"/>
      <c r="C15" s="2024"/>
      <c r="D15" s="2024"/>
      <c r="E15" s="2024"/>
      <c r="F15" s="2024"/>
      <c r="G15" s="2024"/>
      <c r="H15" s="2025"/>
      <c r="T15" s="2030" t="s">
        <v>2066</v>
      </c>
      <c r="U15" s="1974"/>
      <c r="V15" s="1974"/>
      <c r="W15" s="1974"/>
      <c r="X15" s="1974"/>
      <c r="Y15" s="2031"/>
      <c r="Z15" s="2031"/>
      <c r="AA15" s="2032"/>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80" t="s">
        <v>2115</v>
      </c>
      <c r="B17" s="1981"/>
      <c r="C17" s="1981"/>
      <c r="D17" s="1981"/>
      <c r="E17" s="1981"/>
      <c r="F17" s="1981"/>
      <c r="G17" s="1981"/>
      <c r="H17" s="2006"/>
      <c r="T17" s="2037" t="s">
        <v>2067</v>
      </c>
      <c r="U17" s="2038"/>
      <c r="V17" s="2038"/>
      <c r="W17" s="2038"/>
      <c r="X17" s="2038"/>
      <c r="Y17" s="2038"/>
      <c r="Z17" s="2038"/>
      <c r="AA17" s="2039"/>
    </row>
    <row r="18" spans="1:27" ht="13.5" customHeight="1" x14ac:dyDescent="0.2">
      <c r="A18" s="85" t="s">
        <v>530</v>
      </c>
      <c r="B18" s="76"/>
      <c r="C18" s="72"/>
      <c r="D18" s="76"/>
      <c r="E18" s="76"/>
      <c r="F18" s="76"/>
      <c r="G18" s="76"/>
      <c r="H18" s="56"/>
      <c r="I18" s="2005" t="s">
        <v>676</v>
      </c>
      <c r="J18" s="1956"/>
      <c r="K18" s="1956"/>
      <c r="L18" s="1956"/>
      <c r="M18" s="1956"/>
      <c r="N18" s="1956"/>
      <c r="O18" s="1956"/>
      <c r="P18" s="1956"/>
      <c r="Q18" s="1956"/>
      <c r="R18" s="1956"/>
      <c r="S18" s="1957"/>
      <c r="T18" s="85" t="s">
        <v>711</v>
      </c>
      <c r="U18" s="51"/>
      <c r="V18" s="72"/>
      <c r="W18" s="50"/>
      <c r="X18" s="85" t="s">
        <v>266</v>
      </c>
      <c r="Y18" s="81"/>
      <c r="Z18" s="159" t="s">
        <v>677</v>
      </c>
      <c r="AA18" s="46"/>
    </row>
    <row r="19" spans="1:27" ht="13.5" customHeight="1" x14ac:dyDescent="0.2">
      <c r="A19" s="2020" t="s">
        <v>2077</v>
      </c>
      <c r="B19" s="1966"/>
      <c r="C19" s="1966"/>
      <c r="D19" s="1966"/>
      <c r="E19" s="1966"/>
      <c r="F19" s="1966"/>
      <c r="G19" s="1966"/>
      <c r="H19" s="1946"/>
      <c r="I19" s="30"/>
      <c r="J19" s="99"/>
      <c r="K19" s="40"/>
      <c r="L19" s="38"/>
      <c r="M19" s="112" t="s">
        <v>315</v>
      </c>
      <c r="P19" s="27"/>
      <c r="Q19" s="27"/>
      <c r="R19" s="27"/>
      <c r="S19" s="31"/>
      <c r="T19" s="2020" t="s">
        <v>2068</v>
      </c>
      <c r="U19" s="1945"/>
      <c r="V19" s="1945"/>
      <c r="W19" s="1946"/>
      <c r="X19" s="2035" t="s">
        <v>2069</v>
      </c>
      <c r="Y19" s="2036"/>
      <c r="Z19" s="2033">
        <v>60942</v>
      </c>
      <c r="AA19" s="2034"/>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44" t="s">
        <v>2078</v>
      </c>
      <c r="B21" s="1945"/>
      <c r="C21" s="1945"/>
      <c r="D21" s="1945"/>
      <c r="E21" s="1945"/>
      <c r="F21" s="1945"/>
      <c r="G21" s="1945"/>
      <c r="H21" s="1946"/>
      <c r="I21" s="2000" t="s">
        <v>678</v>
      </c>
      <c r="J21" s="1995"/>
      <c r="K21" s="1995"/>
      <c r="L21" s="1995"/>
      <c r="M21" s="1995"/>
      <c r="N21" s="1995"/>
      <c r="O21" s="1995"/>
      <c r="P21" s="1995"/>
      <c r="Q21" s="1995"/>
      <c r="R21" s="1995"/>
      <c r="S21" s="2001"/>
      <c r="T21" s="2045" t="s">
        <v>2070</v>
      </c>
      <c r="U21" s="2046"/>
      <c r="V21" s="2046"/>
      <c r="W21" s="2046"/>
      <c r="X21" s="2051" t="s">
        <v>2071</v>
      </c>
      <c r="Y21" s="2052"/>
      <c r="Z21" s="2052"/>
      <c r="AA21" s="2053"/>
    </row>
    <row r="22" spans="1:27" ht="13.5" customHeight="1" x14ac:dyDescent="0.2">
      <c r="A22" s="87" t="s">
        <v>531</v>
      </c>
      <c r="B22" s="59"/>
      <c r="C22" s="59"/>
      <c r="D22" s="59"/>
      <c r="E22" s="59"/>
      <c r="F22" s="59"/>
      <c r="G22" s="59"/>
      <c r="H22" s="60"/>
      <c r="I22" s="2002" t="s">
        <v>1429</v>
      </c>
      <c r="J22" s="2003"/>
      <c r="K22" s="2003"/>
      <c r="L22" s="2003"/>
      <c r="M22" s="2003"/>
      <c r="N22" s="2003"/>
      <c r="O22" s="2003"/>
      <c r="P22" s="2003"/>
      <c r="Q22" s="2003"/>
      <c r="R22" s="2003"/>
      <c r="S22" s="2004"/>
      <c r="T22" s="85" t="s">
        <v>1516</v>
      </c>
      <c r="U22" s="51"/>
      <c r="V22" s="72"/>
      <c r="W22" s="51"/>
      <c r="X22" s="160" t="s">
        <v>1318</v>
      </c>
      <c r="Z22" s="45"/>
      <c r="AA22" s="46"/>
    </row>
    <row r="23" spans="1:27" ht="13.5" customHeight="1" x14ac:dyDescent="0.2">
      <c r="A23" s="1997"/>
      <c r="B23" s="1998"/>
      <c r="C23" s="1998"/>
      <c r="D23" s="1998"/>
      <c r="E23" s="1998"/>
      <c r="F23" s="1998"/>
      <c r="G23" s="1998"/>
      <c r="H23" s="1999"/>
      <c r="T23" s="2043" t="s">
        <v>2074</v>
      </c>
      <c r="U23" s="2044"/>
      <c r="V23" s="2044"/>
      <c r="W23" s="2044"/>
      <c r="X23" s="2048">
        <v>44469</v>
      </c>
      <c r="Y23" s="2049"/>
      <c r="Z23" s="2049"/>
      <c r="AA23" s="2050"/>
    </row>
    <row r="24" spans="1:27" ht="14.1" customHeight="1" x14ac:dyDescent="0.2">
      <c r="A24" s="88" t="s">
        <v>677</v>
      </c>
      <c r="B24" s="49"/>
      <c r="C24" s="49"/>
      <c r="D24" s="49"/>
      <c r="E24" s="49"/>
      <c r="F24" s="49"/>
      <c r="G24" s="49"/>
      <c r="H24" s="61"/>
      <c r="J24" s="1967">
        <f>IF(B5="x",IF(AUDITCHECK!D29="AFR form Incomplete.","",IF(AUDITCHECK!D29="Deficit reduction plan is required.","School District must complete a deficit reduction plan in the 2019-2020 Budget",)),"")</f>
        <v>0</v>
      </c>
      <c r="K24" s="1967"/>
      <c r="L24" s="1967"/>
      <c r="M24" s="1967"/>
      <c r="N24" s="1967"/>
      <c r="O24" s="1967"/>
      <c r="P24" s="1967"/>
      <c r="Q24" s="1967"/>
      <c r="R24" s="1967"/>
      <c r="S24" s="1968"/>
      <c r="T24" s="105" t="s">
        <v>531</v>
      </c>
      <c r="U24" s="106"/>
      <c r="V24" s="106"/>
      <c r="W24" s="106"/>
      <c r="X24" s="107"/>
      <c r="Y24" s="107"/>
      <c r="Z24" s="107"/>
      <c r="AA24" s="108"/>
    </row>
    <row r="25" spans="1:27" ht="14.1" customHeight="1" x14ac:dyDescent="0.2">
      <c r="A25" s="1944">
        <v>61813</v>
      </c>
      <c r="B25" s="1945"/>
      <c r="C25" s="1945"/>
      <c r="D25" s="1945"/>
      <c r="E25" s="1945"/>
      <c r="F25" s="1945"/>
      <c r="G25" s="1945"/>
      <c r="H25" s="1946"/>
      <c r="I25" s="113"/>
      <c r="J25" s="1969"/>
      <c r="K25" s="1969"/>
      <c r="L25" s="1969"/>
      <c r="M25" s="1969"/>
      <c r="N25" s="1969"/>
      <c r="O25" s="1969"/>
      <c r="P25" s="1969"/>
      <c r="Q25" s="1969"/>
      <c r="R25" s="1969"/>
      <c r="S25" s="1970"/>
      <c r="T25" s="2040" t="s">
        <v>2072</v>
      </c>
      <c r="U25" s="2041"/>
      <c r="V25" s="2041"/>
      <c r="W25" s="2041"/>
      <c r="X25" s="2041"/>
      <c r="Y25" s="2041"/>
      <c r="Z25" s="2041"/>
      <c r="AA25" s="2042"/>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5" t="s">
        <v>1511</v>
      </c>
      <c r="J27" s="1956"/>
      <c r="K27" s="1956"/>
      <c r="L27" s="1956"/>
      <c r="M27" s="1956"/>
      <c r="N27" s="1956"/>
      <c r="O27" s="1956"/>
      <c r="P27" s="1956"/>
      <c r="Q27" s="1956"/>
      <c r="R27" s="1956"/>
      <c r="S27" s="1957"/>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2073</v>
      </c>
      <c r="M29" s="40" t="s">
        <v>99</v>
      </c>
      <c r="N29" s="32" t="s">
        <v>1523</v>
      </c>
      <c r="O29" s="32"/>
      <c r="P29" s="32"/>
      <c r="Q29" s="32"/>
      <c r="R29" s="32"/>
      <c r="S29" s="123"/>
      <c r="T29" s="6"/>
      <c r="U29" s="6"/>
      <c r="V29" s="6"/>
      <c r="W29" s="6"/>
      <c r="X29" s="6"/>
      <c r="Y29" s="6"/>
      <c r="Z29" s="6"/>
      <c r="AA29" s="132"/>
    </row>
    <row r="30" spans="1:27" ht="13.5" customHeight="1" x14ac:dyDescent="0.2">
      <c r="A30" s="153"/>
      <c r="B30" s="136" t="s">
        <v>2073</v>
      </c>
      <c r="C30" s="124" t="s">
        <v>1164</v>
      </c>
      <c r="D30" s="28"/>
      <c r="E30" s="28"/>
      <c r="F30" s="140"/>
      <c r="G30" s="114"/>
      <c r="H30" s="114"/>
      <c r="I30" s="54"/>
      <c r="J30" s="102"/>
      <c r="K30" s="28" t="s">
        <v>576</v>
      </c>
      <c r="L30" s="148" t="s">
        <v>2073</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2073</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2073</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6"/>
      <c r="Q35" s="1945"/>
      <c r="R35" s="1945"/>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80" t="s">
        <v>2079</v>
      </c>
      <c r="B38" s="1981"/>
      <c r="C38" s="1981"/>
      <c r="D38" s="1981"/>
      <c r="E38" s="1981"/>
      <c r="F38" s="1945"/>
      <c r="G38" s="1945"/>
      <c r="H38" s="1946"/>
      <c r="I38" s="1973"/>
      <c r="J38" s="1974"/>
      <c r="K38" s="1974"/>
      <c r="L38" s="1974"/>
      <c r="M38" s="1974"/>
      <c r="N38" s="1974"/>
      <c r="O38" s="1974"/>
      <c r="P38" s="1975"/>
      <c r="Q38" s="1975"/>
      <c r="R38" s="1975"/>
      <c r="S38" s="1976"/>
      <c r="T38" s="2030"/>
      <c r="U38" s="1974"/>
      <c r="V38" s="1974"/>
      <c r="W38" s="1974"/>
      <c r="X38" s="1975"/>
      <c r="Y38" s="1975"/>
      <c r="Z38" s="1975"/>
      <c r="AA38" s="1976"/>
    </row>
    <row r="39" spans="1:27" ht="12" customHeight="1" x14ac:dyDescent="0.2">
      <c r="A39" s="1950" t="s">
        <v>531</v>
      </c>
      <c r="B39" s="1951"/>
      <c r="C39" s="72"/>
      <c r="D39" s="69"/>
      <c r="E39" s="69"/>
      <c r="F39" s="79"/>
      <c r="G39" s="69"/>
      <c r="H39" s="56"/>
      <c r="I39" s="1950" t="s">
        <v>531</v>
      </c>
      <c r="J39" s="1951"/>
      <c r="K39" s="1951"/>
      <c r="L39" s="1951"/>
      <c r="M39" s="1951"/>
      <c r="N39" s="67"/>
      <c r="O39" s="72"/>
      <c r="P39" s="72"/>
      <c r="Q39" s="78"/>
      <c r="R39" s="72"/>
      <c r="S39" s="56"/>
      <c r="T39" s="72" t="s">
        <v>531</v>
      </c>
      <c r="U39" s="51"/>
      <c r="V39" s="72"/>
      <c r="W39" s="50"/>
      <c r="X39" s="78"/>
      <c r="Y39" s="45"/>
      <c r="Z39" s="45"/>
      <c r="AA39" s="46"/>
    </row>
    <row r="40" spans="1:27" ht="13.5" customHeight="1" x14ac:dyDescent="0.2">
      <c r="A40" s="1958" t="s">
        <v>2080</v>
      </c>
      <c r="B40" s="1959"/>
      <c r="C40" s="1960"/>
      <c r="D40" s="1960"/>
      <c r="E40" s="1960"/>
      <c r="F40" s="1961"/>
      <c r="G40" s="1961"/>
      <c r="H40" s="1962"/>
      <c r="I40" s="1983"/>
      <c r="J40" s="1984"/>
      <c r="K40" s="1984"/>
      <c r="L40" s="1984"/>
      <c r="M40" s="1984"/>
      <c r="N40" s="1984"/>
      <c r="O40" s="1984"/>
      <c r="P40" s="1984"/>
      <c r="Q40" s="1984"/>
      <c r="R40" s="1984"/>
      <c r="S40" s="1985"/>
      <c r="T40" s="1983"/>
      <c r="U40" s="2047"/>
      <c r="V40" s="1984"/>
      <c r="W40" s="1984"/>
      <c r="X40" s="1984"/>
      <c r="Y40" s="1984"/>
      <c r="Z40" s="1984"/>
      <c r="AA40" s="1985"/>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72" t="s">
        <v>2081</v>
      </c>
      <c r="B42" s="1964"/>
      <c r="C42" s="1965"/>
      <c r="D42" s="1963" t="s">
        <v>2082</v>
      </c>
      <c r="E42" s="1964"/>
      <c r="F42" s="1964"/>
      <c r="G42" s="1964"/>
      <c r="H42" s="1965"/>
      <c r="I42" s="1947"/>
      <c r="J42" s="1948"/>
      <c r="K42" s="1948"/>
      <c r="L42" s="1948"/>
      <c r="M42" s="1948"/>
      <c r="N42" s="1948"/>
      <c r="O42" s="1949"/>
      <c r="P42" s="1982"/>
      <c r="Q42" s="1948"/>
      <c r="R42" s="1948"/>
      <c r="S42" s="1949"/>
      <c r="T42" s="1947"/>
      <c r="U42" s="1948"/>
      <c r="V42" s="1948"/>
      <c r="W42" s="1949"/>
      <c r="X42" s="1982"/>
      <c r="Y42" s="1948"/>
      <c r="Z42" s="1948"/>
      <c r="AA42" s="1949"/>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7"/>
      <c r="B44" s="1978"/>
      <c r="C44" s="1978"/>
      <c r="D44" s="1978"/>
      <c r="E44" s="1978"/>
      <c r="F44" s="1978"/>
      <c r="G44" s="1978"/>
      <c r="H44" s="1979"/>
      <c r="I44" s="1952"/>
      <c r="J44" s="1953"/>
      <c r="K44" s="1953"/>
      <c r="L44" s="1953"/>
      <c r="M44" s="1953"/>
      <c r="N44" s="1953"/>
      <c r="O44" s="1953"/>
      <c r="P44" s="1953"/>
      <c r="Q44" s="1953"/>
      <c r="R44" s="1953"/>
      <c r="S44" s="1954"/>
      <c r="T44" s="1952"/>
      <c r="U44" s="1971"/>
      <c r="V44" s="1971"/>
      <c r="W44" s="1971"/>
      <c r="X44" s="1971"/>
      <c r="Y44" s="1971"/>
      <c r="Z44" s="1953"/>
      <c r="AA44" s="1954"/>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5"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7" t="s">
        <v>1802</v>
      </c>
      <c r="B2" s="1528" t="s">
        <v>1949</v>
      </c>
      <c r="C2" s="714" t="s">
        <v>1950</v>
      </c>
      <c r="D2" s="714" t="s">
        <v>1951</v>
      </c>
      <c r="E2" s="714" t="s">
        <v>1952</v>
      </c>
      <c r="F2" s="714" t="s">
        <v>1953</v>
      </c>
    </row>
    <row r="3" spans="1:6" ht="12" customHeight="1" x14ac:dyDescent="0.2">
      <c r="A3" s="2188"/>
      <c r="B3" s="1525"/>
      <c r="C3" s="1526"/>
      <c r="D3" s="1527" t="s">
        <v>256</v>
      </c>
      <c r="E3" s="1526"/>
      <c r="F3" s="1527" t="s">
        <v>257</v>
      </c>
    </row>
    <row r="4" spans="1:6" ht="13.7" customHeight="1" x14ac:dyDescent="0.2">
      <c r="A4" s="715" t="s">
        <v>1155</v>
      </c>
      <c r="B4" s="1749">
        <f>'Revenues 9-14'!C5</f>
        <v>1873227</v>
      </c>
      <c r="C4" s="1524">
        <v>59758</v>
      </c>
      <c r="D4" s="1752">
        <f>B4-C4</f>
        <v>1813469</v>
      </c>
      <c r="E4" s="1524">
        <v>2043577</v>
      </c>
      <c r="F4" s="1752">
        <f>E4-C4</f>
        <v>1983819</v>
      </c>
    </row>
    <row r="5" spans="1:6" ht="13.7" customHeight="1" x14ac:dyDescent="0.2">
      <c r="A5" s="715" t="s">
        <v>870</v>
      </c>
      <c r="B5" s="1750">
        <f>'Revenues 9-14'!D5</f>
        <v>319275</v>
      </c>
      <c r="C5" s="585">
        <v>10186</v>
      </c>
      <c r="D5" s="1753">
        <f t="shared" ref="D5:D18" si="0">B5-C5</f>
        <v>309089</v>
      </c>
      <c r="E5" s="585">
        <v>348337</v>
      </c>
      <c r="F5" s="1753">
        <f>E5-C5</f>
        <v>338151</v>
      </c>
    </row>
    <row r="6" spans="1:6" ht="13.7" customHeight="1" x14ac:dyDescent="0.2">
      <c r="A6" s="715" t="s">
        <v>411</v>
      </c>
      <c r="B6" s="1750">
        <f>'Revenues 9-14'!E5</f>
        <v>366169</v>
      </c>
      <c r="C6" s="585">
        <v>11305</v>
      </c>
      <c r="D6" s="1753">
        <f t="shared" si="0"/>
        <v>354864</v>
      </c>
      <c r="E6" s="585">
        <v>386621</v>
      </c>
      <c r="F6" s="1753">
        <f t="shared" ref="F6:F18" si="1">E6-C6</f>
        <v>375316</v>
      </c>
    </row>
    <row r="7" spans="1:6" ht="13.7" customHeight="1" x14ac:dyDescent="0.2">
      <c r="A7" s="715" t="s">
        <v>155</v>
      </c>
      <c r="B7" s="1750">
        <f>'Revenues 9-14'!F5</f>
        <v>121632</v>
      </c>
      <c r="C7" s="585">
        <v>3880</v>
      </c>
      <c r="D7" s="1753">
        <f t="shared" si="0"/>
        <v>117752</v>
      </c>
      <c r="E7" s="585">
        <v>132700</v>
      </c>
      <c r="F7" s="1753">
        <f t="shared" si="1"/>
        <v>128820</v>
      </c>
    </row>
    <row r="8" spans="1:6" ht="13.7" customHeight="1" x14ac:dyDescent="0.2">
      <c r="A8" s="715" t="s">
        <v>1179</v>
      </c>
      <c r="B8" s="1750">
        <f>'Revenues 9-14'!G5</f>
        <v>23478</v>
      </c>
      <c r="C8" s="585">
        <v>586</v>
      </c>
      <c r="D8" s="1753">
        <f t="shared" si="0"/>
        <v>22892</v>
      </c>
      <c r="E8" s="585">
        <v>20038</v>
      </c>
      <c r="F8" s="1753">
        <f t="shared" si="1"/>
        <v>19452</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30408</v>
      </c>
      <c r="C10" s="585">
        <v>970</v>
      </c>
      <c r="D10" s="1753">
        <f t="shared" si="0"/>
        <v>29438</v>
      </c>
      <c r="E10" s="585">
        <v>33175</v>
      </c>
      <c r="F10" s="1753">
        <f t="shared" si="1"/>
        <v>32205</v>
      </c>
    </row>
    <row r="11" spans="1:6" x14ac:dyDescent="0.2">
      <c r="A11" s="715" t="s">
        <v>409</v>
      </c>
      <c r="B11" s="1750">
        <f>'Revenues 9-14'!J5</f>
        <v>231587</v>
      </c>
      <c r="C11" s="585">
        <v>7311</v>
      </c>
      <c r="D11" s="1753">
        <f t="shared" si="0"/>
        <v>224276</v>
      </c>
      <c r="E11" s="585">
        <v>250006</v>
      </c>
      <c r="F11" s="1753">
        <f t="shared" si="1"/>
        <v>242695</v>
      </c>
    </row>
    <row r="12" spans="1:6" ht="13.7" customHeight="1" x14ac:dyDescent="0.2">
      <c r="A12" s="715" t="s">
        <v>157</v>
      </c>
      <c r="B12" s="1750">
        <f>'Revenues 9-14'!K5</f>
        <v>30408</v>
      </c>
      <c r="C12" s="585">
        <v>970</v>
      </c>
      <c r="D12" s="1753">
        <f t="shared" si="0"/>
        <v>29438</v>
      </c>
      <c r="E12" s="585">
        <v>33175</v>
      </c>
      <c r="F12" s="1753">
        <f t="shared" si="1"/>
        <v>32205</v>
      </c>
    </row>
    <row r="13" spans="1:6" ht="13.7" customHeight="1" x14ac:dyDescent="0.2">
      <c r="A13" s="715" t="s">
        <v>936</v>
      </c>
      <c r="B13" s="1750">
        <f>SUM('Revenues 9-14'!C6:D6)</f>
        <v>24954</v>
      </c>
      <c r="C13" s="585">
        <v>970</v>
      </c>
      <c r="D13" s="1753">
        <f t="shared" si="0"/>
        <v>23984</v>
      </c>
      <c r="E13" s="585">
        <v>33175</v>
      </c>
      <c r="F13" s="1753">
        <f t="shared" si="1"/>
        <v>32205</v>
      </c>
    </row>
    <row r="14" spans="1:6" ht="13.7" customHeight="1" x14ac:dyDescent="0.2">
      <c r="A14" s="715" t="s">
        <v>410</v>
      </c>
      <c r="B14" s="1750">
        <f>SUM('Revenues 9-14'!C7:D7,'Revenues 9-14'!F7:H7)</f>
        <v>24325</v>
      </c>
      <c r="C14" s="585">
        <v>776</v>
      </c>
      <c r="D14" s="1753">
        <f t="shared" si="0"/>
        <v>23549</v>
      </c>
      <c r="E14" s="585">
        <v>26540</v>
      </c>
      <c r="F14" s="1753">
        <f t="shared" si="1"/>
        <v>25764</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23478</v>
      </c>
      <c r="C16" s="585">
        <v>586</v>
      </c>
      <c r="D16" s="1753">
        <f t="shared" si="0"/>
        <v>22892</v>
      </c>
      <c r="E16" s="585">
        <v>20038</v>
      </c>
      <c r="F16" s="1753">
        <f t="shared" si="1"/>
        <v>19452</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3068941</v>
      </c>
      <c r="C19" s="1751">
        <f>SUM(C4:C18)</f>
        <v>97298</v>
      </c>
      <c r="D19" s="1751">
        <f>SUM(D4:D18)</f>
        <v>2971643</v>
      </c>
      <c r="E19" s="1751">
        <f>SUM(E4:E18)</f>
        <v>3327382</v>
      </c>
      <c r="F19" s="1751">
        <f>SUM(F4:F18)</f>
        <v>3230084</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activeCell="E28" sqref="E28"/>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9" t="s">
        <v>629</v>
      </c>
      <c r="B1" s="2207"/>
      <c r="C1" s="721"/>
    </row>
    <row r="2" spans="1:7" ht="33.75" x14ac:dyDescent="0.2">
      <c r="A2" s="2214" t="s">
        <v>1802</v>
      </c>
      <c r="B2" s="2215"/>
      <c r="C2" s="1884" t="s">
        <v>1954</v>
      </c>
      <c r="D2" s="723" t="s">
        <v>1955</v>
      </c>
      <c r="E2" s="723" t="s">
        <v>1956</v>
      </c>
      <c r="F2" s="1884" t="s">
        <v>1957</v>
      </c>
    </row>
    <row r="3" spans="1:7" ht="15.75" customHeight="1" x14ac:dyDescent="0.2">
      <c r="A3" s="2216" t="s">
        <v>1114</v>
      </c>
      <c r="B3" s="2217"/>
      <c r="C3" s="2210"/>
      <c r="D3" s="2211"/>
      <c r="E3" s="2211"/>
      <c r="F3" s="2212"/>
    </row>
    <row r="4" spans="1:7" ht="12.75" customHeight="1" thickBot="1" x14ac:dyDescent="0.25">
      <c r="A4" s="2204" t="s">
        <v>630</v>
      </c>
      <c r="B4" s="2205"/>
      <c r="C4" s="581"/>
      <c r="D4" s="581"/>
      <c r="E4" s="581"/>
      <c r="F4" s="1755">
        <f>SUM(C4+D4)-E4</f>
        <v>0</v>
      </c>
    </row>
    <row r="5" spans="1:7" ht="15.75" customHeight="1" thickTop="1" x14ac:dyDescent="0.2">
      <c r="A5" s="2208" t="s">
        <v>1110</v>
      </c>
      <c r="B5" s="2203"/>
      <c r="C5" s="2197"/>
      <c r="D5" s="2198"/>
      <c r="E5" s="2198"/>
      <c r="F5" s="2199"/>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200" t="s">
        <v>631</v>
      </c>
      <c r="B15" s="2201"/>
      <c r="C15" s="1755">
        <f>SUM(C6:C14)</f>
        <v>0</v>
      </c>
      <c r="D15" s="1755">
        <f>SUM(D6:D14)</f>
        <v>0</v>
      </c>
      <c r="E15" s="1755">
        <f>SUM(E6:E14)</f>
        <v>0</v>
      </c>
      <c r="F15" s="1755">
        <f>SUM(F6:F14)</f>
        <v>0</v>
      </c>
      <c r="G15" s="552"/>
    </row>
    <row r="16" spans="1:7" s="202" customFormat="1" ht="15.75" customHeight="1" thickTop="1" x14ac:dyDescent="0.2">
      <c r="A16" s="2213" t="s">
        <v>1111</v>
      </c>
      <c r="B16" s="2203"/>
      <c r="C16" s="2197"/>
      <c r="D16" s="2198"/>
      <c r="E16" s="2198"/>
      <c r="F16" s="2199"/>
    </row>
    <row r="17" spans="1:11" ht="12.75" customHeight="1" thickBot="1" x14ac:dyDescent="0.25">
      <c r="A17" s="2195" t="s">
        <v>64</v>
      </c>
      <c r="B17" s="2196"/>
      <c r="C17" s="726"/>
      <c r="D17" s="585"/>
      <c r="E17" s="726"/>
      <c r="F17" s="1755">
        <f>SUM(C17+D17)-E17</f>
        <v>0</v>
      </c>
    </row>
    <row r="18" spans="1:11" ht="12.75" customHeight="1" thickTop="1" thickBot="1" x14ac:dyDescent="0.25">
      <c r="A18" s="2195" t="s">
        <v>6</v>
      </c>
      <c r="B18" s="2196"/>
      <c r="C18" s="726"/>
      <c r="D18" s="585"/>
      <c r="E18" s="726"/>
      <c r="F18" s="1755">
        <f>SUM(C18+D18)-E18</f>
        <v>0</v>
      </c>
    </row>
    <row r="19" spans="1:11" ht="12.75" customHeight="1" thickTop="1" thickBot="1" x14ac:dyDescent="0.25">
      <c r="A19" s="2195" t="s">
        <v>388</v>
      </c>
      <c r="B19" s="2196"/>
      <c r="C19" s="726"/>
      <c r="D19" s="585"/>
      <c r="E19" s="726"/>
      <c r="F19" s="1755">
        <f>SUM(C19+D19)-E19</f>
        <v>0</v>
      </c>
    </row>
    <row r="20" spans="1:11" ht="12.75" customHeight="1" thickTop="1" thickBot="1" x14ac:dyDescent="0.25">
      <c r="A20" s="2195" t="s">
        <v>448</v>
      </c>
      <c r="B20" s="2196"/>
      <c r="C20" s="726"/>
      <c r="D20" s="585"/>
      <c r="E20" s="726"/>
      <c r="F20" s="1755">
        <f>SUM(C20+D20)-E20</f>
        <v>0</v>
      </c>
    </row>
    <row r="21" spans="1:11" ht="14.25" thickTop="1" thickBot="1" x14ac:dyDescent="0.25">
      <c r="A21" s="2200" t="s">
        <v>632</v>
      </c>
      <c r="B21" s="2201"/>
      <c r="C21" s="1755">
        <f>SUM(C17:C20)</f>
        <v>0</v>
      </c>
      <c r="D21" s="1755">
        <f>SUM(D17:D20)</f>
        <v>0</v>
      </c>
      <c r="E21" s="1755">
        <f>SUM(E17:E20)</f>
        <v>0</v>
      </c>
      <c r="F21" s="1755">
        <f>SUM(F17:F20)</f>
        <v>0</v>
      </c>
      <c r="G21" s="552"/>
    </row>
    <row r="22" spans="1:11" ht="15.75" customHeight="1" thickTop="1" x14ac:dyDescent="0.2">
      <c r="A22" s="2202" t="s">
        <v>1112</v>
      </c>
      <c r="B22" s="2203"/>
      <c r="C22" s="2197"/>
      <c r="D22" s="2198"/>
      <c r="E22" s="2198"/>
      <c r="F22" s="2199"/>
    </row>
    <row r="23" spans="1:11" ht="13.5" thickBot="1" x14ac:dyDescent="0.25">
      <c r="A23" s="2204" t="s">
        <v>633</v>
      </c>
      <c r="B23" s="2205"/>
      <c r="C23" s="581"/>
      <c r="D23" s="581"/>
      <c r="E23" s="581"/>
      <c r="F23" s="1755">
        <f>SUM(C23+D23)-E23</f>
        <v>0</v>
      </c>
      <c r="G23" s="552"/>
    </row>
    <row r="24" spans="1:11" ht="15.75" customHeight="1" thickTop="1" x14ac:dyDescent="0.2">
      <c r="A24" s="2202" t="s">
        <v>1113</v>
      </c>
      <c r="B24" s="2203"/>
      <c r="C24" s="2197"/>
      <c r="D24" s="2198"/>
      <c r="E24" s="2198"/>
      <c r="F24" s="2199"/>
    </row>
    <row r="25" spans="1:11" ht="13.5" thickBot="1" x14ac:dyDescent="0.25">
      <c r="A25" s="2204" t="s">
        <v>634</v>
      </c>
      <c r="B25" s="2205"/>
      <c r="C25" s="581"/>
      <c r="D25" s="581"/>
      <c r="E25" s="581"/>
      <c r="F25" s="1755">
        <f>SUM(C25+D25)-E25</f>
        <v>0</v>
      </c>
      <c r="G25" s="552"/>
    </row>
    <row r="26" spans="1:11" ht="15.75" customHeight="1" thickTop="1" x14ac:dyDescent="0.2">
      <c r="A26" s="2208" t="s">
        <v>657</v>
      </c>
      <c r="B26" s="2203"/>
      <c r="C26" s="727"/>
      <c r="D26" s="727"/>
      <c r="E26" s="727"/>
      <c r="F26" s="728"/>
    </row>
    <row r="27" spans="1:11" ht="13.5" thickBot="1" x14ac:dyDescent="0.25">
      <c r="A27" s="2200" t="s">
        <v>1070</v>
      </c>
      <c r="B27" s="2201"/>
      <c r="C27" s="585">
        <v>0</v>
      </c>
      <c r="D27" s="585">
        <v>16681</v>
      </c>
      <c r="E27" s="585">
        <v>8543</v>
      </c>
      <c r="F27" s="1755">
        <f>SUM(C27+D27)-E27</f>
        <v>8138</v>
      </c>
      <c r="G27" s="552"/>
    </row>
    <row r="28" spans="1:11" ht="7.5" customHeight="1" thickTop="1" x14ac:dyDescent="0.2">
      <c r="A28" s="593"/>
    </row>
    <row r="29" spans="1:11" ht="23.25" customHeight="1" x14ac:dyDescent="0.2">
      <c r="A29" s="2206" t="s">
        <v>582</v>
      </c>
      <c r="B29" s="2207"/>
      <c r="C29" s="729"/>
      <c r="D29" s="729"/>
      <c r="E29" s="729"/>
      <c r="F29" s="729"/>
      <c r="G29" s="729"/>
      <c r="H29" s="729"/>
      <c r="I29" s="729"/>
      <c r="J29" s="729"/>
    </row>
    <row r="30" spans="1:11" ht="33.75" x14ac:dyDescent="0.2">
      <c r="A30" s="1529" t="s">
        <v>1071</v>
      </c>
      <c r="B30" s="730" t="s">
        <v>1124</v>
      </c>
      <c r="C30" s="1885" t="s">
        <v>583</v>
      </c>
      <c r="D30" s="1885" t="s">
        <v>1673</v>
      </c>
      <c r="E30" s="1885" t="s">
        <v>1958</v>
      </c>
      <c r="F30" s="1885" t="s">
        <v>1959</v>
      </c>
      <c r="G30" s="1885" t="s">
        <v>1910</v>
      </c>
      <c r="H30" s="1885" t="s">
        <v>1960</v>
      </c>
      <c r="I30" s="1885" t="s">
        <v>1961</v>
      </c>
      <c r="J30" s="1886" t="s">
        <v>2</v>
      </c>
      <c r="K30" s="731"/>
    </row>
    <row r="31" spans="1:11" ht="12" customHeight="1" x14ac:dyDescent="0.2">
      <c r="A31" s="732" t="s">
        <v>2083</v>
      </c>
      <c r="B31" s="733">
        <v>40148</v>
      </c>
      <c r="C31" s="734">
        <v>555000</v>
      </c>
      <c r="D31" s="735">
        <v>2</v>
      </c>
      <c r="E31" s="734">
        <v>100000</v>
      </c>
      <c r="F31" s="734"/>
      <c r="G31" s="734"/>
      <c r="H31" s="734">
        <v>100000</v>
      </c>
      <c r="I31" s="1756">
        <f>((E31+F31)-H31)+G31</f>
        <v>0</v>
      </c>
      <c r="J31" s="734"/>
      <c r="K31" s="736"/>
    </row>
    <row r="32" spans="1:11" ht="12" customHeight="1" x14ac:dyDescent="0.2">
      <c r="A32" s="732" t="s">
        <v>2084</v>
      </c>
      <c r="B32" s="733">
        <v>40148</v>
      </c>
      <c r="C32" s="734">
        <v>950000</v>
      </c>
      <c r="D32" s="735">
        <v>3</v>
      </c>
      <c r="E32" s="734">
        <v>705000</v>
      </c>
      <c r="F32" s="734"/>
      <c r="G32" s="734"/>
      <c r="H32" s="734">
        <v>10000</v>
      </c>
      <c r="I32" s="1756">
        <f>((E32+F32)-H32)+G32</f>
        <v>695000</v>
      </c>
      <c r="J32" s="734">
        <v>691120</v>
      </c>
      <c r="K32" s="736"/>
    </row>
    <row r="33" spans="1:11" ht="12" customHeight="1" x14ac:dyDescent="0.2">
      <c r="A33" s="732" t="s">
        <v>2085</v>
      </c>
      <c r="B33" s="733">
        <v>42401</v>
      </c>
      <c r="C33" s="734">
        <v>480000</v>
      </c>
      <c r="D33" s="735">
        <v>1</v>
      </c>
      <c r="E33" s="734">
        <v>460000</v>
      </c>
      <c r="F33" s="734"/>
      <c r="G33" s="734"/>
      <c r="H33" s="734">
        <v>85000</v>
      </c>
      <c r="I33" s="1756">
        <f t="shared" ref="I33:I48" si="1">((E33+F33)-H33)+G33</f>
        <v>375000</v>
      </c>
      <c r="J33" s="734">
        <v>375000</v>
      </c>
      <c r="K33" s="736"/>
    </row>
    <row r="34" spans="1:11" ht="12" customHeight="1" x14ac:dyDescent="0.2">
      <c r="A34" s="732" t="s">
        <v>2086</v>
      </c>
      <c r="B34" s="733">
        <v>42943</v>
      </c>
      <c r="C34" s="734">
        <v>1427734</v>
      </c>
      <c r="D34" s="735">
        <v>3</v>
      </c>
      <c r="E34" s="734">
        <v>1427734</v>
      </c>
      <c r="F34" s="734"/>
      <c r="G34" s="734"/>
      <c r="H34" s="734">
        <v>50000</v>
      </c>
      <c r="I34" s="1756">
        <f t="shared" si="1"/>
        <v>1377734</v>
      </c>
      <c r="J34" s="734">
        <v>1377734</v>
      </c>
      <c r="K34" s="737"/>
    </row>
    <row r="35" spans="1:11" ht="12" customHeight="1" x14ac:dyDescent="0.2">
      <c r="A35" s="732" t="s">
        <v>2087</v>
      </c>
      <c r="B35" s="733">
        <v>42943</v>
      </c>
      <c r="C35" s="738">
        <v>1825000</v>
      </c>
      <c r="D35" s="735" t="s">
        <v>2088</v>
      </c>
      <c r="E35" s="738">
        <v>1825000</v>
      </c>
      <c r="F35" s="738"/>
      <c r="G35" s="738"/>
      <c r="H35" s="738"/>
      <c r="I35" s="1756">
        <f t="shared" si="1"/>
        <v>1825000</v>
      </c>
      <c r="J35" s="738">
        <v>1825000</v>
      </c>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5237734</v>
      </c>
      <c r="D49" s="745"/>
      <c r="E49" s="1756">
        <f t="shared" ref="E49:J49" si="2">SUM(E31:E48)</f>
        <v>4517734</v>
      </c>
      <c r="F49" s="1756">
        <f t="shared" si="2"/>
        <v>0</v>
      </c>
      <c r="G49" s="1756">
        <f t="shared" si="2"/>
        <v>0</v>
      </c>
      <c r="H49" s="1756">
        <f t="shared" si="2"/>
        <v>245000</v>
      </c>
      <c r="I49" s="1756">
        <f t="shared" si="2"/>
        <v>4272734</v>
      </c>
      <c r="J49" s="1756">
        <f t="shared" si="2"/>
        <v>4268854</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189" t="s">
        <v>584</v>
      </c>
      <c r="C52" s="2190"/>
      <c r="D52" s="2190"/>
      <c r="E52" s="749" t="s">
        <v>845</v>
      </c>
      <c r="F52" s="2191"/>
      <c r="G52" s="2192"/>
      <c r="H52" s="736"/>
      <c r="I52" s="736"/>
      <c r="J52" s="746"/>
    </row>
    <row r="53" spans="1:11" ht="11.25" customHeight="1" x14ac:dyDescent="0.2">
      <c r="A53" s="750" t="s">
        <v>913</v>
      </c>
      <c r="B53" s="751" t="s">
        <v>951</v>
      </c>
      <c r="C53" s="746"/>
      <c r="D53" s="737"/>
      <c r="E53" s="749" t="s">
        <v>497</v>
      </c>
      <c r="F53" s="2193"/>
      <c r="G53" s="2194"/>
      <c r="H53" s="736"/>
      <c r="I53" s="736"/>
      <c r="J53" s="746"/>
    </row>
    <row r="54" spans="1:11" ht="11.25" customHeight="1" x14ac:dyDescent="0.2">
      <c r="A54" s="752" t="s">
        <v>914</v>
      </c>
      <c r="B54" s="747" t="s">
        <v>952</v>
      </c>
      <c r="C54" s="746"/>
      <c r="D54" s="737"/>
      <c r="E54" s="749" t="s">
        <v>498</v>
      </c>
      <c r="F54" s="2193"/>
      <c r="G54" s="2194"/>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5"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8" t="s">
        <v>856</v>
      </c>
      <c r="B1" s="2219"/>
      <c r="C1" s="2219"/>
      <c r="D1" s="2219"/>
      <c r="E1" s="2219"/>
      <c r="F1" s="2219"/>
      <c r="G1" s="2220"/>
      <c r="H1" s="1530"/>
      <c r="I1" s="760"/>
      <c r="J1" s="433"/>
    </row>
    <row r="2" spans="1:11" ht="26.25" x14ac:dyDescent="0.2">
      <c r="A2" s="2237" t="s">
        <v>1677</v>
      </c>
      <c r="B2" s="2238"/>
      <c r="C2" s="2238"/>
      <c r="D2" s="2238"/>
      <c r="E2" s="2239"/>
      <c r="F2" s="761" t="s">
        <v>904</v>
      </c>
      <c r="G2" s="762" t="s">
        <v>1674</v>
      </c>
      <c r="H2" s="762" t="s">
        <v>410</v>
      </c>
      <c r="I2" s="762" t="s">
        <v>1158</v>
      </c>
      <c r="J2" s="762" t="s">
        <v>1812</v>
      </c>
      <c r="K2" s="762" t="s">
        <v>138</v>
      </c>
    </row>
    <row r="3" spans="1:11" x14ac:dyDescent="0.2">
      <c r="A3" s="2240" t="s">
        <v>1962</v>
      </c>
      <c r="B3" s="2241"/>
      <c r="C3" s="2241"/>
      <c r="D3" s="2241"/>
      <c r="E3" s="2242"/>
      <c r="F3" s="763"/>
      <c r="G3" s="764"/>
      <c r="H3" s="764"/>
      <c r="I3" s="764"/>
      <c r="J3" s="765">
        <v>84756</v>
      </c>
      <c r="K3" s="765"/>
    </row>
    <row r="4" spans="1:11" x14ac:dyDescent="0.2">
      <c r="A4" s="2243" t="s">
        <v>369</v>
      </c>
      <c r="B4" s="2244"/>
      <c r="C4" s="2244"/>
      <c r="D4" s="2244"/>
      <c r="E4" s="2190"/>
      <c r="F4" s="766"/>
      <c r="G4" s="767"/>
      <c r="H4" s="768"/>
      <c r="I4" s="767"/>
      <c r="J4" s="769"/>
      <c r="K4" s="769"/>
    </row>
    <row r="5" spans="1:11" x14ac:dyDescent="0.2">
      <c r="A5" s="2221" t="s">
        <v>1069</v>
      </c>
      <c r="B5" s="2222"/>
      <c r="C5" s="2222"/>
      <c r="D5" s="2222"/>
      <c r="E5" s="2223"/>
      <c r="F5" s="770" t="s">
        <v>848</v>
      </c>
      <c r="G5" s="771"/>
      <c r="H5" s="764">
        <v>24325</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v>6200</v>
      </c>
    </row>
    <row r="8" spans="1:11" x14ac:dyDescent="0.2">
      <c r="A8" s="778" t="s">
        <v>345</v>
      </c>
      <c r="B8" s="779"/>
      <c r="C8" s="779"/>
      <c r="D8" s="779"/>
      <c r="E8" s="780"/>
      <c r="F8" s="770" t="s">
        <v>851</v>
      </c>
      <c r="G8" s="782"/>
      <c r="H8" s="782"/>
      <c r="I8" s="782"/>
      <c r="J8" s="765">
        <v>100412</v>
      </c>
      <c r="K8" s="769"/>
    </row>
    <row r="9" spans="1:11" x14ac:dyDescent="0.2">
      <c r="A9" s="778" t="s">
        <v>138</v>
      </c>
      <c r="B9" s="779"/>
      <c r="C9" s="779"/>
      <c r="D9" s="779"/>
      <c r="E9" s="780"/>
      <c r="F9" s="777" t="s">
        <v>853</v>
      </c>
      <c r="G9" s="782"/>
      <c r="H9" s="771"/>
      <c r="I9" s="771"/>
      <c r="J9" s="781"/>
      <c r="K9" s="765">
        <v>4667</v>
      </c>
    </row>
    <row r="10" spans="1:11" x14ac:dyDescent="0.2">
      <c r="A10" s="2221" t="s">
        <v>1813</v>
      </c>
      <c r="B10" s="2222"/>
      <c r="C10" s="2222"/>
      <c r="D10" s="2222"/>
      <c r="E10" s="2224"/>
      <c r="F10" s="783" t="s">
        <v>862</v>
      </c>
      <c r="G10" s="782"/>
      <c r="H10" s="784"/>
      <c r="I10" s="764"/>
      <c r="J10" s="765"/>
      <c r="K10" s="765"/>
    </row>
    <row r="11" spans="1:11" x14ac:dyDescent="0.2">
      <c r="A11" s="2221" t="s">
        <v>160</v>
      </c>
      <c r="B11" s="2222"/>
      <c r="C11" s="2222"/>
      <c r="D11" s="2222"/>
      <c r="E11" s="2223"/>
      <c r="F11" s="770" t="s">
        <v>852</v>
      </c>
      <c r="G11" s="771"/>
      <c r="H11" s="764"/>
      <c r="I11" s="764"/>
      <c r="J11" s="765"/>
      <c r="K11" s="773"/>
    </row>
    <row r="12" spans="1:11" ht="13.5" thickBot="1" x14ac:dyDescent="0.25">
      <c r="A12" s="2248" t="s">
        <v>905</v>
      </c>
      <c r="B12" s="2249"/>
      <c r="C12" s="2249"/>
      <c r="D12" s="2249"/>
      <c r="E12" s="2250"/>
      <c r="F12" s="1757"/>
      <c r="G12" s="1758">
        <f>SUM(G5:G11)</f>
        <v>0</v>
      </c>
      <c r="H12" s="1758">
        <f>SUM(H5:H11)</f>
        <v>24325</v>
      </c>
      <c r="I12" s="1758">
        <f>SUM(I5:I11)</f>
        <v>0</v>
      </c>
      <c r="J12" s="1758">
        <f>SUM(J5:J11)</f>
        <v>100412</v>
      </c>
      <c r="K12" s="1758">
        <f>SUM(K5:K11)</f>
        <v>10867</v>
      </c>
    </row>
    <row r="13" spans="1:11" ht="13.5" thickTop="1" x14ac:dyDescent="0.2">
      <c r="A13" s="2245" t="s">
        <v>370</v>
      </c>
      <c r="B13" s="2246"/>
      <c r="C13" s="2246"/>
      <c r="D13" s="2246"/>
      <c r="E13" s="2247"/>
      <c r="F13" s="785"/>
      <c r="G13" s="786"/>
      <c r="H13" s="787"/>
      <c r="I13" s="788"/>
      <c r="J13" s="788"/>
      <c r="K13" s="788"/>
    </row>
    <row r="14" spans="1:11" x14ac:dyDescent="0.2">
      <c r="A14" s="2228" t="s">
        <v>456</v>
      </c>
      <c r="B14" s="2228"/>
      <c r="C14" s="2228"/>
      <c r="D14" s="2228"/>
      <c r="E14" s="2229"/>
      <c r="F14" s="789" t="s">
        <v>854</v>
      </c>
      <c r="G14" s="782"/>
      <c r="H14" s="764">
        <v>24325</v>
      </c>
      <c r="I14" s="771"/>
      <c r="J14" s="773"/>
      <c r="K14" s="765">
        <v>10867</v>
      </c>
    </row>
    <row r="15" spans="1:11" x14ac:dyDescent="0.2">
      <c r="A15" s="2222" t="s">
        <v>4</v>
      </c>
      <c r="B15" s="2222"/>
      <c r="C15" s="2222"/>
      <c r="D15" s="2222"/>
      <c r="E15" s="2223"/>
      <c r="F15" s="789" t="s">
        <v>855</v>
      </c>
      <c r="G15" s="771"/>
      <c r="H15" s="764"/>
      <c r="I15" s="764"/>
      <c r="J15" s="765">
        <v>148295</v>
      </c>
      <c r="K15" s="765"/>
    </row>
    <row r="16" spans="1:11" x14ac:dyDescent="0.2">
      <c r="A16" s="2222" t="s">
        <v>298</v>
      </c>
      <c r="B16" s="2222"/>
      <c r="C16" s="2222"/>
      <c r="D16" s="2222"/>
      <c r="E16" s="2223"/>
      <c r="F16" s="789" t="s">
        <v>923</v>
      </c>
      <c r="G16" s="772"/>
      <c r="H16" s="767"/>
      <c r="I16" s="767"/>
      <c r="J16" s="769"/>
      <c r="K16" s="769"/>
    </row>
    <row r="17" spans="1:11" x14ac:dyDescent="0.2">
      <c r="A17" s="2253" t="s">
        <v>935</v>
      </c>
      <c r="B17" s="2253"/>
      <c r="C17" s="2253"/>
      <c r="D17" s="2253"/>
      <c r="E17" s="2254"/>
      <c r="F17" s="790"/>
      <c r="G17" s="791"/>
      <c r="H17" s="792"/>
      <c r="I17" s="792"/>
      <c r="J17" s="793"/>
      <c r="K17" s="794"/>
    </row>
    <row r="18" spans="1:11" x14ac:dyDescent="0.2">
      <c r="A18" s="2232" t="s">
        <v>368</v>
      </c>
      <c r="B18" s="2233"/>
      <c r="C18" s="2233"/>
      <c r="D18" s="2233"/>
      <c r="E18" s="2234"/>
      <c r="F18" s="789" t="s">
        <v>932</v>
      </c>
      <c r="G18" s="782"/>
      <c r="H18" s="782"/>
      <c r="I18" s="782"/>
      <c r="J18" s="765"/>
      <c r="K18" s="795"/>
    </row>
    <row r="19" spans="1:11" ht="21.75" customHeight="1" x14ac:dyDescent="0.2">
      <c r="A19" s="2230" t="s">
        <v>1809</v>
      </c>
      <c r="B19" s="2230"/>
      <c r="C19" s="2230"/>
      <c r="D19" s="2230"/>
      <c r="E19" s="2231"/>
      <c r="F19" s="789" t="s">
        <v>933</v>
      </c>
      <c r="G19" s="782"/>
      <c r="H19" s="782"/>
      <c r="I19" s="782"/>
      <c r="J19" s="765"/>
      <c r="K19" s="795"/>
    </row>
    <row r="20" spans="1:11" x14ac:dyDescent="0.2">
      <c r="A20" s="2232" t="s">
        <v>1814</v>
      </c>
      <c r="B20" s="2233"/>
      <c r="C20" s="2233"/>
      <c r="D20" s="2233"/>
      <c r="E20" s="2234"/>
      <c r="F20" s="789" t="s">
        <v>934</v>
      </c>
      <c r="G20" s="782"/>
      <c r="H20" s="782"/>
      <c r="I20" s="782"/>
      <c r="J20" s="765"/>
      <c r="K20" s="795"/>
    </row>
    <row r="21" spans="1:11" ht="13.5" thickBot="1" x14ac:dyDescent="0.25">
      <c r="A21" s="2251" t="s">
        <v>638</v>
      </c>
      <c r="B21" s="2251"/>
      <c r="C21" s="2251"/>
      <c r="D21" s="2251"/>
      <c r="E21" s="2251"/>
      <c r="F21" s="1759"/>
      <c r="G21" s="792"/>
      <c r="H21" s="796"/>
      <c r="I21" s="796"/>
      <c r="J21" s="1760">
        <f>SUM(J18:J20)</f>
        <v>0</v>
      </c>
      <c r="K21" s="793"/>
    </row>
    <row r="22" spans="1:11" ht="13.5" thickTop="1" x14ac:dyDescent="0.2">
      <c r="A22" s="2222" t="s">
        <v>1815</v>
      </c>
      <c r="B22" s="2222"/>
      <c r="C22" s="2222"/>
      <c r="D22" s="2222"/>
      <c r="E22" s="2223"/>
      <c r="F22" s="789" t="s">
        <v>862</v>
      </c>
      <c r="G22" s="782"/>
      <c r="H22" s="764"/>
      <c r="I22" s="764"/>
      <c r="J22" s="797"/>
      <c r="K22" s="765"/>
    </row>
    <row r="23" spans="1:11" ht="13.5" thickBot="1" x14ac:dyDescent="0.25">
      <c r="A23" s="2252" t="s">
        <v>906</v>
      </c>
      <c r="B23" s="2251"/>
      <c r="C23" s="2251"/>
      <c r="D23" s="2251"/>
      <c r="E23" s="2251"/>
      <c r="F23" s="1761"/>
      <c r="G23" s="1758">
        <f>SUM(G14:G16,G21,G22)</f>
        <v>0</v>
      </c>
      <c r="H23" s="1758">
        <f>SUM(H14:H16,H21,H22)</f>
        <v>24325</v>
      </c>
      <c r="I23" s="1758">
        <f>SUM(I14:I16,I21,I22)</f>
        <v>0</v>
      </c>
      <c r="J23" s="1758">
        <f>SUM(J14:J16,J21,J22)</f>
        <v>148295</v>
      </c>
      <c r="K23" s="1758">
        <f>SUM(K14:K16,K21,K22)</f>
        <v>10867</v>
      </c>
    </row>
    <row r="24" spans="1:11" ht="14.25" thickTop="1" thickBot="1" x14ac:dyDescent="0.25">
      <c r="A24" s="2252" t="s">
        <v>1963</v>
      </c>
      <c r="B24" s="2251"/>
      <c r="C24" s="2251"/>
      <c r="D24" s="2251"/>
      <c r="E24" s="2251"/>
      <c r="F24" s="1762"/>
      <c r="G24" s="1763">
        <f>SUM(G3,G12)-G23</f>
        <v>0</v>
      </c>
      <c r="H24" s="1763">
        <f>SUM(H3,H12)-H23</f>
        <v>0</v>
      </c>
      <c r="I24" s="1763">
        <f>SUM(I3,I12)-I23</f>
        <v>0</v>
      </c>
      <c r="J24" s="1763">
        <f>SUM(J3,J12)-J23</f>
        <v>36873</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36873</v>
      </c>
      <c r="K26" s="1758">
        <f>K24-K25</f>
        <v>0</v>
      </c>
    </row>
    <row r="27" spans="1:11" ht="5.25" customHeight="1" thickTop="1" x14ac:dyDescent="0.2">
      <c r="I27" s="202"/>
      <c r="J27" s="202"/>
    </row>
    <row r="28" spans="1:11" ht="29.25" customHeight="1" x14ac:dyDescent="0.2">
      <c r="A28" s="1880" t="s">
        <v>1909</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25"/>
      <c r="I31" s="2226"/>
      <c r="J31" s="2226"/>
      <c r="K31" s="2226"/>
    </row>
    <row r="32" spans="1:11" x14ac:dyDescent="0.2">
      <c r="A32" s="809"/>
      <c r="B32" s="237"/>
      <c r="C32" s="237"/>
      <c r="D32" s="237"/>
      <c r="E32" s="805"/>
      <c r="F32" s="811" t="s">
        <v>540</v>
      </c>
      <c r="G32" s="764"/>
      <c r="H32" s="2227"/>
      <c r="I32" s="2226"/>
      <c r="J32" s="2226"/>
      <c r="K32" s="2226"/>
    </row>
    <row r="33" spans="1:11" ht="1.5" customHeight="1" x14ac:dyDescent="0.2">
      <c r="A33" s="812" t="s">
        <v>1169</v>
      </c>
      <c r="B33" s="364"/>
      <c r="C33" s="364"/>
      <c r="D33" s="364"/>
      <c r="E33" s="364"/>
      <c r="F33" s="364"/>
      <c r="G33" s="813"/>
      <c r="H33" s="2227"/>
      <c r="I33" s="2226"/>
      <c r="J33" s="2226"/>
      <c r="K33" s="2226"/>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22" t="s">
        <v>541</v>
      </c>
      <c r="B41" s="2235"/>
      <c r="C41" s="2235"/>
      <c r="D41" s="2235"/>
      <c r="E41" s="2235"/>
      <c r="F41" s="2236"/>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L16" sqref="L16"/>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7" t="s">
        <v>1908</v>
      </c>
      <c r="B1" s="2258"/>
      <c r="C1" s="2259"/>
      <c r="D1" s="826"/>
      <c r="E1" s="827"/>
      <c r="F1" s="827"/>
      <c r="G1" s="828"/>
      <c r="H1" s="829"/>
      <c r="I1" s="830"/>
      <c r="J1" s="2255"/>
      <c r="K1" s="2256"/>
      <c r="L1" s="2256"/>
    </row>
    <row r="2" spans="1:14" ht="69.75" customHeight="1" x14ac:dyDescent="0.2">
      <c r="A2" s="831" t="s">
        <v>1678</v>
      </c>
      <c r="B2" s="832" t="s">
        <v>378</v>
      </c>
      <c r="C2" s="833" t="s">
        <v>1964</v>
      </c>
      <c r="D2" s="833" t="s">
        <v>1965</v>
      </c>
      <c r="E2" s="833" t="s">
        <v>1966</v>
      </c>
      <c r="F2" s="833" t="s">
        <v>1967</v>
      </c>
      <c r="G2" s="833" t="s">
        <v>605</v>
      </c>
      <c r="H2" s="833" t="s">
        <v>1968</v>
      </c>
      <c r="I2" s="833" t="s">
        <v>1969</v>
      </c>
      <c r="J2" s="833" t="s">
        <v>1970</v>
      </c>
      <c r="K2" s="833" t="s">
        <v>1971</v>
      </c>
      <c r="L2" s="833" t="s">
        <v>1972</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17419</v>
      </c>
      <c r="D5" s="841"/>
      <c r="E5" s="841"/>
      <c r="F5" s="1760">
        <f>(C5+D5)-E5</f>
        <v>17419</v>
      </c>
      <c r="G5" s="837"/>
      <c r="H5" s="842"/>
      <c r="I5" s="842"/>
      <c r="J5" s="842"/>
      <c r="K5" s="793"/>
      <c r="L5" s="1769">
        <f>F5-K5</f>
        <v>17419</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3915790</v>
      </c>
      <c r="D8" s="844"/>
      <c r="E8" s="844"/>
      <c r="F8" s="1760">
        <f>(C8+D8)-E8</f>
        <v>3915790</v>
      </c>
      <c r="G8" s="843">
        <v>50</v>
      </c>
      <c r="H8" s="765">
        <v>2792198</v>
      </c>
      <c r="I8" s="765">
        <v>78025</v>
      </c>
      <c r="J8" s="765"/>
      <c r="K8" s="1769">
        <f>(H8+I8)-J8</f>
        <v>2870223</v>
      </c>
      <c r="L8" s="1769">
        <f>F8-K8</f>
        <v>1045567</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586099</v>
      </c>
      <c r="D10" s="846">
        <v>1044738</v>
      </c>
      <c r="E10" s="846"/>
      <c r="F10" s="1764">
        <f>(C10+D10)-E10</f>
        <v>1630837</v>
      </c>
      <c r="G10" s="843">
        <v>20</v>
      </c>
      <c r="H10" s="847">
        <v>55638</v>
      </c>
      <c r="I10" s="847">
        <v>81542</v>
      </c>
      <c r="J10" s="847"/>
      <c r="K10" s="1769">
        <f>(H10+I10)-J10</f>
        <v>137180</v>
      </c>
      <c r="L10" s="1769">
        <f>F10-K10</f>
        <v>1493657</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1401216</v>
      </c>
      <c r="D12" s="844">
        <v>4456</v>
      </c>
      <c r="E12" s="844"/>
      <c r="F12" s="1760">
        <f>(C12+D12)-E12</f>
        <v>1405672</v>
      </c>
      <c r="G12" s="843">
        <v>10</v>
      </c>
      <c r="H12" s="765">
        <v>1342918</v>
      </c>
      <c r="I12" s="765">
        <v>54638</v>
      </c>
      <c r="J12" s="765"/>
      <c r="K12" s="1769">
        <f>(H12+I12)-J12</f>
        <v>1397556</v>
      </c>
      <c r="L12" s="1769">
        <f>F12-K12</f>
        <v>8116</v>
      </c>
    </row>
    <row r="13" spans="1:14" ht="14.25" thickTop="1" thickBot="1" x14ac:dyDescent="0.25">
      <c r="A13" s="848" t="s">
        <v>1122</v>
      </c>
      <c r="B13" s="840">
        <v>252</v>
      </c>
      <c r="C13" s="844"/>
      <c r="D13" s="844"/>
      <c r="E13" s="844"/>
      <c r="F13" s="1760">
        <f>(C13+D13)-E13</f>
        <v>0</v>
      </c>
      <c r="G13" s="843">
        <v>5</v>
      </c>
      <c r="H13" s="765"/>
      <c r="I13" s="765"/>
      <c r="J13" s="765"/>
      <c r="K13" s="1769">
        <f>(H13+I13)-J13</f>
        <v>0</v>
      </c>
      <c r="L13" s="1769">
        <f>F13-K13</f>
        <v>0</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5920524</v>
      </c>
      <c r="D16" s="1760">
        <f>SUM(D3,D5:D6,D8:D10,D12:D15)</f>
        <v>1049194</v>
      </c>
      <c r="E16" s="1760">
        <f>SUM(E3,E5:E6,E8:E10,E12:E15)</f>
        <v>0</v>
      </c>
      <c r="F16" s="1760">
        <f>SUM(F3,F5:F6,F8:F10,F12:F15)</f>
        <v>6969718</v>
      </c>
      <c r="G16" s="843"/>
      <c r="H16" s="1760">
        <f>SUM(H3,H6,H8:H10,H12:H14,)</f>
        <v>4190754</v>
      </c>
      <c r="I16" s="1760">
        <f>SUM(I3,I6,I8:I10,I12:I14,)</f>
        <v>214205</v>
      </c>
      <c r="J16" s="1760">
        <f>SUM(J3,J6,J8:J10,J12:J14,)</f>
        <v>0</v>
      </c>
      <c r="K16" s="1760">
        <f>(H16+I16)-J16</f>
        <v>4404959</v>
      </c>
      <c r="L16" s="1760">
        <f>F16-K16</f>
        <v>2564759</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214205</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2"/>
  <sheetViews>
    <sheetView showGridLines="0" defaultGridColor="0" colorId="8" zoomScale="110" zoomScaleNormal="110" workbookViewId="0">
      <pane ySplit="5" topLeftCell="A6" activePane="bottomLeft" state="frozen"/>
      <selection activeCell="A47" sqref="A47"/>
      <selection pane="bottomLeft" sqref="A1:F1"/>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3" t="s">
        <v>1973</v>
      </c>
      <c r="B1" s="2264"/>
      <c r="C1" s="2264"/>
      <c r="D1" s="2264"/>
      <c r="E1" s="2264"/>
      <c r="F1" s="2265"/>
      <c r="G1" s="855"/>
    </row>
    <row r="2" spans="1:7" ht="15" customHeight="1" thickBot="1" x14ac:dyDescent="0.25">
      <c r="A2" s="2266" t="s">
        <v>477</v>
      </c>
      <c r="B2" s="2267"/>
      <c r="C2" s="2267"/>
      <c r="D2" s="2267"/>
      <c r="E2" s="2267"/>
      <c r="F2" s="2268"/>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9"/>
      <c r="B5" s="2270"/>
      <c r="C5" s="2270"/>
      <c r="D5" s="2270"/>
      <c r="E5" s="2270"/>
      <c r="F5" s="2270"/>
    </row>
    <row r="6" spans="1:7" ht="13.5" customHeight="1" thickBot="1" x14ac:dyDescent="0.25">
      <c r="A6" s="2260" t="s">
        <v>1104</v>
      </c>
      <c r="B6" s="2261"/>
      <c r="C6" s="2261"/>
      <c r="D6" s="2261"/>
      <c r="E6" s="2261"/>
      <c r="F6" s="2262"/>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2674486</v>
      </c>
      <c r="G8" s="865"/>
    </row>
    <row r="9" spans="1:7" x14ac:dyDescent="0.2">
      <c r="A9" s="869" t="s">
        <v>460</v>
      </c>
      <c r="B9" s="870" t="s">
        <v>1876</v>
      </c>
      <c r="C9" s="871"/>
      <c r="D9" s="869" t="s">
        <v>501</v>
      </c>
      <c r="E9" s="868"/>
      <c r="F9" s="1909">
        <f>'Expenditures 15-22'!K151</f>
        <v>279368</v>
      </c>
      <c r="G9" s="872"/>
    </row>
    <row r="10" spans="1:7" x14ac:dyDescent="0.2">
      <c r="A10" s="869" t="s">
        <v>499</v>
      </c>
      <c r="B10" s="870" t="s">
        <v>1877</v>
      </c>
      <c r="C10" s="871"/>
      <c r="D10" s="869" t="s">
        <v>501</v>
      </c>
      <c r="E10" s="868"/>
      <c r="F10" s="1909">
        <f>'Expenditures 15-22'!K174</f>
        <v>426854</v>
      </c>
      <c r="G10" s="872"/>
    </row>
    <row r="11" spans="1:7" x14ac:dyDescent="0.2">
      <c r="A11" s="869" t="s">
        <v>461</v>
      </c>
      <c r="B11" s="870" t="s">
        <v>1878</v>
      </c>
      <c r="C11" s="871"/>
      <c r="D11" s="869" t="s">
        <v>501</v>
      </c>
      <c r="E11" s="868"/>
      <c r="F11" s="1909">
        <f>'Expenditures 15-22'!K210</f>
        <v>296270</v>
      </c>
      <c r="G11" s="872"/>
    </row>
    <row r="12" spans="1:7" x14ac:dyDescent="0.2">
      <c r="A12" s="869" t="s">
        <v>462</v>
      </c>
      <c r="B12" s="870" t="s">
        <v>1879</v>
      </c>
      <c r="C12" s="871"/>
      <c r="D12" s="869" t="s">
        <v>501</v>
      </c>
      <c r="E12" s="868"/>
      <c r="F12" s="1909">
        <f>'Expenditures 15-22'!K295</f>
        <v>67488</v>
      </c>
      <c r="G12" s="872"/>
    </row>
    <row r="13" spans="1:7" x14ac:dyDescent="0.2">
      <c r="A13" s="869" t="s">
        <v>106</v>
      </c>
      <c r="B13" s="870" t="s">
        <v>1880</v>
      </c>
      <c r="C13" s="871"/>
      <c r="D13" s="869" t="s">
        <v>501</v>
      </c>
      <c r="E13" s="868"/>
      <c r="F13" s="1909">
        <f>'Expenditures 15-22'!K342</f>
        <v>228324</v>
      </c>
      <c r="G13" s="873"/>
    </row>
    <row r="14" spans="1:7" ht="12" customHeight="1" thickBot="1" x14ac:dyDescent="0.25">
      <c r="A14" s="1770"/>
      <c r="B14" s="1771"/>
      <c r="C14" s="1772"/>
      <c r="D14" s="1773" t="s">
        <v>501</v>
      </c>
      <c r="E14" s="1774" t="s">
        <v>958</v>
      </c>
      <c r="F14" s="1775">
        <f>SUM(F8:F13)</f>
        <v>3972790</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1997</v>
      </c>
      <c r="C30" s="880">
        <f>'Revenues 9-14'!B150</f>
        <v>3499</v>
      </c>
      <c r="D30" s="881" t="str">
        <f>'Revenues 9-14'!A150</f>
        <v>Adult Ed - Other (Describe &amp; Itemize)</v>
      </c>
      <c r="E30" s="868"/>
      <c r="F30" s="1914">
        <f>('Revenues 9-14'!D150+'Revenues 9-14'!F150)</f>
        <v>0</v>
      </c>
      <c r="G30" s="865"/>
    </row>
    <row r="31" spans="1:7" x14ac:dyDescent="0.2">
      <c r="A31" s="869" t="s">
        <v>1097</v>
      </c>
      <c r="B31" s="870" t="s">
        <v>1998</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1999</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2000</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75024</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3">
        <f>'Expenditures 15-22'!K102</f>
        <v>63017</v>
      </c>
      <c r="G53" s="865"/>
    </row>
    <row r="54" spans="1:7" x14ac:dyDescent="0.2">
      <c r="A54" s="869" t="s">
        <v>459</v>
      </c>
      <c r="B54" s="869" t="s">
        <v>1476</v>
      </c>
      <c r="C54" s="889" t="s">
        <v>982</v>
      </c>
      <c r="D54" s="885" t="s">
        <v>1095</v>
      </c>
      <c r="E54" s="868"/>
      <c r="F54" s="1913">
        <f>'Expenditures 15-22'!G114</f>
        <v>4456</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1881</v>
      </c>
      <c r="C57" s="889">
        <f>'Expenditures 15-22'!B139</f>
        <v>4000</v>
      </c>
      <c r="D57" s="887" t="str">
        <f>'Expenditures 15-22'!A139</f>
        <v>Total Payments to Other Govt Units</v>
      </c>
      <c r="E57" s="868"/>
      <c r="F57" s="1913">
        <f>'Expenditures 15-22'!K139</f>
        <v>0</v>
      </c>
      <c r="G57" s="865"/>
    </row>
    <row r="58" spans="1:7" x14ac:dyDescent="0.2">
      <c r="A58" s="869" t="s">
        <v>460</v>
      </c>
      <c r="B58" s="869" t="s">
        <v>1882</v>
      </c>
      <c r="C58" s="886" t="s">
        <v>982</v>
      </c>
      <c r="D58" s="885" t="s">
        <v>1095</v>
      </c>
      <c r="E58" s="868"/>
      <c r="F58" s="1915">
        <f>'Expenditures 15-22'!G151</f>
        <v>0</v>
      </c>
      <c r="G58" s="865"/>
    </row>
    <row r="59" spans="1:7" x14ac:dyDescent="0.2">
      <c r="A59" s="893" t="s">
        <v>460</v>
      </c>
      <c r="B59" s="856" t="s">
        <v>1883</v>
      </c>
      <c r="C59" s="894" t="s">
        <v>982</v>
      </c>
      <c r="D59" s="856" t="s">
        <v>291</v>
      </c>
      <c r="F59" s="1916">
        <f>'Expenditures 15-22'!I151</f>
        <v>0</v>
      </c>
      <c r="G59" s="865"/>
    </row>
    <row r="60" spans="1:7" x14ac:dyDescent="0.2">
      <c r="A60" s="893" t="s">
        <v>499</v>
      </c>
      <c r="B60" s="856" t="s">
        <v>1884</v>
      </c>
      <c r="C60" s="894">
        <v>4000</v>
      </c>
      <c r="D60" s="856" t="s">
        <v>312</v>
      </c>
      <c r="F60" s="1914">
        <f>'Expenditures 15-22'!K160</f>
        <v>0</v>
      </c>
      <c r="G60" s="865"/>
    </row>
    <row r="61" spans="1:7" x14ac:dyDescent="0.2">
      <c r="A61" s="895" t="s">
        <v>499</v>
      </c>
      <c r="B61" s="895" t="s">
        <v>1885</v>
      </c>
      <c r="C61" s="896" t="str">
        <f>'Expenditures 15-22'!B170</f>
        <v>5300</v>
      </c>
      <c r="D61" s="897" t="s">
        <v>311</v>
      </c>
      <c r="E61" s="879"/>
      <c r="F61" s="1913">
        <f>'Expenditures 15-22'!K170</f>
        <v>245000</v>
      </c>
      <c r="G61" s="865"/>
    </row>
    <row r="62" spans="1:7" x14ac:dyDescent="0.2">
      <c r="A62" s="869" t="s">
        <v>461</v>
      </c>
      <c r="B62" s="869" t="s">
        <v>1886</v>
      </c>
      <c r="C62" s="886">
        <f>'Expenditures 15-22'!B185</f>
        <v>3000</v>
      </c>
      <c r="D62" s="876" t="s">
        <v>449</v>
      </c>
      <c r="E62" s="868"/>
      <c r="F62" s="1913">
        <f>'Expenditures 15-22'!K185-SUM('Expenditures 15-22'!G185,'Expenditures 15-22'!I185)</f>
        <v>0</v>
      </c>
      <c r="G62" s="865"/>
    </row>
    <row r="63" spans="1:7" x14ac:dyDescent="0.2">
      <c r="A63" s="869" t="s">
        <v>461</v>
      </c>
      <c r="B63" s="869" t="s">
        <v>1887</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1888</v>
      </c>
      <c r="C64" s="896" t="str">
        <f>'Expenditures 15-22'!B206</f>
        <v>5300</v>
      </c>
      <c r="D64" s="892" t="s">
        <v>311</v>
      </c>
      <c r="E64" s="868"/>
      <c r="F64" s="1913">
        <f>'Expenditures 15-22'!K206</f>
        <v>0</v>
      </c>
      <c r="G64" s="865"/>
    </row>
    <row r="65" spans="1:8" x14ac:dyDescent="0.2">
      <c r="A65" s="869" t="s">
        <v>461</v>
      </c>
      <c r="B65" s="869" t="s">
        <v>1889</v>
      </c>
      <c r="C65" s="886" t="s">
        <v>982</v>
      </c>
      <c r="D65" s="885" t="s">
        <v>1095</v>
      </c>
      <c r="E65" s="868"/>
      <c r="F65" s="1913">
        <f>'Expenditures 15-22'!G210</f>
        <v>0</v>
      </c>
      <c r="G65" s="865"/>
    </row>
    <row r="66" spans="1:8" x14ac:dyDescent="0.2">
      <c r="A66" s="869" t="s">
        <v>461</v>
      </c>
      <c r="B66" s="869" t="s">
        <v>1890</v>
      </c>
      <c r="C66" s="886" t="s">
        <v>982</v>
      </c>
      <c r="D66" s="885" t="s">
        <v>291</v>
      </c>
      <c r="E66" s="868"/>
      <c r="F66" s="1913">
        <f>'Expenditures 15-22'!I210</f>
        <v>0</v>
      </c>
      <c r="G66" s="865"/>
    </row>
    <row r="67" spans="1:8" x14ac:dyDescent="0.2">
      <c r="A67" s="869" t="s">
        <v>462</v>
      </c>
      <c r="B67" s="869" t="s">
        <v>1891</v>
      </c>
      <c r="C67" s="886" t="str">
        <f>'Expenditures 15-22'!B216</f>
        <v>1125</v>
      </c>
      <c r="D67" s="892" t="str">
        <f>'Expenditures 15-22'!A216</f>
        <v>Pre-K Programs</v>
      </c>
      <c r="E67" s="868"/>
      <c r="F67" s="1913">
        <f>'Expenditures 15-22'!K216</f>
        <v>2737</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1892</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1893</v>
      </c>
      <c r="C70" s="886">
        <f>'Expenditures 15-22'!B221</f>
        <v>1300</v>
      </c>
      <c r="D70" s="887" t="str">
        <f>'Expenditures 15-22'!A221</f>
        <v>Adult/Continuing Education Programs</v>
      </c>
      <c r="E70" s="868"/>
      <c r="F70" s="1913">
        <f>'Expenditures 15-22'!K221</f>
        <v>0</v>
      </c>
      <c r="G70" s="865"/>
    </row>
    <row r="71" spans="1:8" x14ac:dyDescent="0.2">
      <c r="A71" s="869" t="s">
        <v>462</v>
      </c>
      <c r="B71" s="869" t="s">
        <v>1894</v>
      </c>
      <c r="C71" s="886">
        <f>'Expenditures 15-22'!B224</f>
        <v>1600</v>
      </c>
      <c r="D71" s="887" t="str">
        <f>'Expenditures 15-22'!A224</f>
        <v>Summer School Programs</v>
      </c>
      <c r="E71" s="868"/>
      <c r="F71" s="1913">
        <f>'Expenditures 15-22'!K224</f>
        <v>0</v>
      </c>
      <c r="G71" s="865"/>
    </row>
    <row r="72" spans="1:8" x14ac:dyDescent="0.2">
      <c r="A72" s="869" t="s">
        <v>462</v>
      </c>
      <c r="B72" s="869" t="s">
        <v>1895</v>
      </c>
      <c r="C72" s="886">
        <f>'Expenditures 15-22'!B280</f>
        <v>3000</v>
      </c>
      <c r="D72" s="876" t="s">
        <v>449</v>
      </c>
      <c r="E72" s="868"/>
      <c r="F72" s="1913">
        <f>'Expenditures 15-22'!K280</f>
        <v>0</v>
      </c>
      <c r="G72" s="865"/>
    </row>
    <row r="73" spans="1:8" x14ac:dyDescent="0.2">
      <c r="A73" s="869" t="s">
        <v>462</v>
      </c>
      <c r="B73" s="869" t="s">
        <v>1896</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1897</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1898</v>
      </c>
      <c r="E76" s="1774" t="s">
        <v>958</v>
      </c>
      <c r="F76" s="1778">
        <f>SUM(F18:F74)</f>
        <v>390234</v>
      </c>
      <c r="G76" s="865"/>
    </row>
    <row r="77" spans="1:8" s="893" customFormat="1" ht="12" customHeight="1" thickTop="1" thickBot="1" x14ac:dyDescent="0.25">
      <c r="A77" s="1779"/>
      <c r="B77" s="1776"/>
      <c r="C77" s="1772"/>
      <c r="D77" s="1777" t="s">
        <v>1899</v>
      </c>
      <c r="E77" s="1774"/>
      <c r="F77" s="1780">
        <f>(F14-F76)</f>
        <v>3582556</v>
      </c>
      <c r="G77" s="869"/>
    </row>
    <row r="78" spans="1:8" s="893" customFormat="1" ht="12" customHeight="1" thickTop="1" x14ac:dyDescent="0.2">
      <c r="A78" s="1781"/>
      <c r="B78" s="1776"/>
      <c r="C78" s="1772"/>
      <c r="D78" s="1777" t="s">
        <v>2060</v>
      </c>
      <c r="E78" s="1774"/>
      <c r="F78" s="898">
        <v>292.7</v>
      </c>
      <c r="G78" s="899"/>
      <c r="H78" s="869"/>
    </row>
    <row r="79" spans="1:8" s="893" customFormat="1" ht="12" customHeight="1" thickBot="1" x14ac:dyDescent="0.25">
      <c r="A79" s="1782"/>
      <c r="B79" s="1776"/>
      <c r="C79" s="1772"/>
      <c r="D79" s="1777" t="s">
        <v>1900</v>
      </c>
      <c r="E79" s="1774" t="s">
        <v>958</v>
      </c>
      <c r="F79" s="1783">
        <f>IF(F78&gt;0,F77/F78," Complete Line 78")</f>
        <v>12239.685685001708</v>
      </c>
      <c r="G79" s="869"/>
    </row>
    <row r="80" spans="1:8" s="893" customFormat="1" ht="8.25" customHeight="1" thickTop="1" x14ac:dyDescent="0.2">
      <c r="A80" s="900"/>
      <c r="B80" s="869"/>
      <c r="C80" s="871"/>
      <c r="D80" s="901"/>
      <c r="E80" s="868"/>
      <c r="F80" s="902"/>
      <c r="G80" s="869"/>
    </row>
    <row r="81" spans="1:7" s="893" customFormat="1" ht="12" thickBot="1" x14ac:dyDescent="0.25">
      <c r="A81" s="2260" t="s">
        <v>1105</v>
      </c>
      <c r="B81" s="2261"/>
      <c r="C81" s="2261"/>
      <c r="D81" s="2261"/>
      <c r="E81" s="2261"/>
      <c r="F81" s="2262"/>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24951</v>
      </c>
      <c r="G94" s="912"/>
    </row>
    <row r="95" spans="1:7" x14ac:dyDescent="0.2">
      <c r="A95" s="908" t="s">
        <v>140</v>
      </c>
      <c r="B95" s="908" t="s">
        <v>175</v>
      </c>
      <c r="C95" s="910">
        <v>1700</v>
      </c>
      <c r="D95" s="918" t="str">
        <f>'Revenues 9-14'!A82</f>
        <v>Total District/School Activity Income</v>
      </c>
      <c r="E95" s="906"/>
      <c r="F95" s="1789">
        <f>SUM('Revenues 9-14'!C82,'Revenues 9-14'!D82)</f>
        <v>38792</v>
      </c>
      <c r="G95" s="912"/>
    </row>
    <row r="96" spans="1:7" x14ac:dyDescent="0.2">
      <c r="A96" s="908" t="s">
        <v>459</v>
      </c>
      <c r="B96" s="908" t="s">
        <v>176</v>
      </c>
      <c r="C96" s="910">
        <f>'Revenues 9-14'!B84</f>
        <v>1811</v>
      </c>
      <c r="D96" s="911" t="str">
        <f>'Revenues 9-14'!A84</f>
        <v>Rentals - Regular Textbooks</v>
      </c>
      <c r="E96" s="906"/>
      <c r="F96" s="1789">
        <f>'Revenues 9-14'!C84</f>
        <v>9098</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57</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20022</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2001</v>
      </c>
      <c r="C105" s="913">
        <v>3100</v>
      </c>
      <c r="D105" s="919" t="str">
        <f>'Revenues 9-14'!A132</f>
        <v>Total Special Education</v>
      </c>
      <c r="E105" s="906"/>
      <c r="F105" s="1789">
        <f>SUM('Revenues 9-14'!C132:D132,'Revenues 9-14'!F132)</f>
        <v>0</v>
      </c>
      <c r="G105" s="912"/>
    </row>
    <row r="106" spans="1:7" x14ac:dyDescent="0.2">
      <c r="A106" s="908" t="s">
        <v>673</v>
      </c>
      <c r="B106" s="908" t="s">
        <v>2002</v>
      </c>
      <c r="C106" s="920">
        <v>3200</v>
      </c>
      <c r="D106" s="911" t="str">
        <f>'Revenues 9-14'!A141</f>
        <v>Total Career and Technical Education</v>
      </c>
      <c r="E106" s="906"/>
      <c r="F106" s="1789">
        <f>SUM('Revenues 9-14'!C141,'Revenues 9-14'!D141,'Revenues 9-14'!G141)</f>
        <v>6064</v>
      </c>
      <c r="G106" s="912"/>
    </row>
    <row r="107" spans="1:7" x14ac:dyDescent="0.2">
      <c r="A107" s="921" t="s">
        <v>664</v>
      </c>
      <c r="B107" s="908" t="s">
        <v>2003</v>
      </c>
      <c r="C107" s="920">
        <v>3300</v>
      </c>
      <c r="D107" s="911" t="str">
        <f>'Revenues 9-14'!A145</f>
        <v>Total Bilingual Ed</v>
      </c>
      <c r="E107" s="906"/>
      <c r="F107" s="1789">
        <f>SUM('Revenues 9-14'!C145,'Revenues 9-14'!G145)</f>
        <v>0</v>
      </c>
      <c r="G107" s="912"/>
    </row>
    <row r="108" spans="1:7" x14ac:dyDescent="0.2">
      <c r="A108" s="908" t="s">
        <v>459</v>
      </c>
      <c r="B108" s="908" t="s">
        <v>2004</v>
      </c>
      <c r="C108" s="920">
        <f>'Revenues 9-14'!B146</f>
        <v>3360</v>
      </c>
      <c r="D108" s="911" t="str">
        <f>'Revenues 9-14'!A146</f>
        <v>State Free Lunch &amp; Breakfast</v>
      </c>
      <c r="E108" s="906"/>
      <c r="F108" s="1789">
        <f>'Revenues 9-14'!C146</f>
        <v>1080</v>
      </c>
      <c r="G108" s="912"/>
    </row>
    <row r="109" spans="1:7" x14ac:dyDescent="0.2">
      <c r="A109" s="908" t="s">
        <v>673</v>
      </c>
      <c r="B109" s="908" t="s">
        <v>2005</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2006</v>
      </c>
      <c r="C110" s="920">
        <f>'Revenues 9-14'!B148</f>
        <v>3370</v>
      </c>
      <c r="D110" s="911" t="str">
        <f>'Revenues 9-14'!A148</f>
        <v>Driver Education</v>
      </c>
      <c r="E110" s="906"/>
      <c r="F110" s="1789">
        <f>SUM('Revenues 9-14'!C148,'Revenues 9-14'!D148)</f>
        <v>4667</v>
      </c>
      <c r="G110" s="912"/>
    </row>
    <row r="111" spans="1:7" x14ac:dyDescent="0.2">
      <c r="A111" s="908" t="s">
        <v>668</v>
      </c>
      <c r="B111" s="908" t="s">
        <v>2007</v>
      </c>
      <c r="C111" s="922">
        <v>3500</v>
      </c>
      <c r="D111" s="911" t="str">
        <f>'Revenues 9-14'!A155</f>
        <v>Total Transportation</v>
      </c>
      <c r="E111" s="906"/>
      <c r="F111" s="1789">
        <f>SUM('Revenues 9-14'!C155,'Revenues 9-14'!D155,'Revenues 9-14'!F155,'Revenues 9-14'!G155)</f>
        <v>105902</v>
      </c>
      <c r="G111" s="912"/>
    </row>
    <row r="112" spans="1:7" x14ac:dyDescent="0.2">
      <c r="A112" s="908" t="s">
        <v>459</v>
      </c>
      <c r="B112" s="908" t="s">
        <v>2008</v>
      </c>
      <c r="C112" s="920">
        <f>'Revenues 9-14'!B156</f>
        <v>3610</v>
      </c>
      <c r="D112" s="911" t="str">
        <f>'Revenues 9-14'!A156</f>
        <v>Learning Improvement - Change Grants</v>
      </c>
      <c r="E112" s="906"/>
      <c r="F112" s="1789">
        <f>'Revenues 9-14'!C156</f>
        <v>0</v>
      </c>
      <c r="G112" s="912"/>
    </row>
    <row r="113" spans="1:7" x14ac:dyDescent="0.2">
      <c r="A113" s="908" t="s">
        <v>668</v>
      </c>
      <c r="B113" s="908" t="s">
        <v>2009</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2010</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2011</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2012</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2013</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2014</v>
      </c>
      <c r="C118" s="924">
        <f>'Revenues 9-14'!B163</f>
        <v>3780</v>
      </c>
      <c r="D118" s="925" t="str">
        <f>'Revenues 9-14'!A163</f>
        <v>Technology - Technology for Success</v>
      </c>
      <c r="E118" s="906"/>
      <c r="F118" s="1907">
        <f>SUM('Revenues 9-14'!C163:G163)</f>
        <v>0</v>
      </c>
      <c r="G118" s="912"/>
    </row>
    <row r="119" spans="1:7" x14ac:dyDescent="0.2">
      <c r="A119" s="923" t="s">
        <v>504</v>
      </c>
      <c r="B119" s="923" t="s">
        <v>2015</v>
      </c>
      <c r="C119" s="924">
        <f>'Revenues 9-14'!B164</f>
        <v>3815</v>
      </c>
      <c r="D119" s="925" t="str">
        <f>'Revenues 9-14'!A164</f>
        <v>State Charter Schools</v>
      </c>
      <c r="E119" s="906"/>
      <c r="F119" s="1907">
        <f>SUM('Revenues 9-14'!C164,'Revenues 9-14'!F164)</f>
        <v>0</v>
      </c>
      <c r="G119" s="912"/>
    </row>
    <row r="120" spans="1:7" x14ac:dyDescent="0.2">
      <c r="A120" s="927" t="s">
        <v>460</v>
      </c>
      <c r="B120" s="927" t="s">
        <v>2016</v>
      </c>
      <c r="C120" s="928">
        <f>'Revenues 9-14'!B167</f>
        <v>3925</v>
      </c>
      <c r="D120" s="929" t="str">
        <f>'Revenues 9-14'!A167</f>
        <v>School Infrastructure - Maintenance Projects</v>
      </c>
      <c r="E120" s="906"/>
      <c r="F120" s="1789">
        <f>'Revenues 9-14'!D167</f>
        <v>0</v>
      </c>
      <c r="G120" s="930"/>
    </row>
    <row r="121" spans="1:7" x14ac:dyDescent="0.2">
      <c r="A121" s="927" t="s">
        <v>500</v>
      </c>
      <c r="B121" s="927" t="s">
        <v>2017</v>
      </c>
      <c r="C121" s="928">
        <f>'Revenues 9-14'!B168</f>
        <v>3999</v>
      </c>
      <c r="D121" s="929" t="s">
        <v>543</v>
      </c>
      <c r="E121" s="931"/>
      <c r="F121" s="1789">
        <f>SUM('Revenues 9-14'!C168:G168,'Revenues 9-14'!J168)</f>
        <v>1067</v>
      </c>
      <c r="G121" s="930"/>
    </row>
    <row r="122" spans="1:7" x14ac:dyDescent="0.2">
      <c r="A122" s="927" t="s">
        <v>459</v>
      </c>
      <c r="B122" s="927" t="s">
        <v>2018</v>
      </c>
      <c r="C122" s="932">
        <f>'Revenues 9-14'!B177</f>
        <v>4045</v>
      </c>
      <c r="D122" s="929" t="str">
        <f>'Revenues 9-14'!A177 &amp; " (Subtract)"</f>
        <v>Head Start (Subtract)</v>
      </c>
      <c r="E122" s="906"/>
      <c r="F122" s="1789">
        <f>SUM(-'Revenues 9-14'!C177)</f>
        <v>0</v>
      </c>
      <c r="G122" s="930"/>
    </row>
    <row r="123" spans="1:7" x14ac:dyDescent="0.2">
      <c r="A123" s="927" t="s">
        <v>668</v>
      </c>
      <c r="B123" s="927" t="s">
        <v>2019</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2020</v>
      </c>
      <c r="C124" s="932">
        <v>4100</v>
      </c>
      <c r="D124" s="933" t="str">
        <f>'Revenues 9-14'!A188</f>
        <v>Total Title V</v>
      </c>
      <c r="E124" s="906"/>
      <c r="F124" s="1789">
        <f>SUM('Revenues 9-14'!C188,'Revenues 9-14'!D188,'Revenues 9-14'!F188,'Revenues 9-14'!G188)</f>
        <v>17643</v>
      </c>
      <c r="G124" s="930"/>
    </row>
    <row r="125" spans="1:7" x14ac:dyDescent="0.2">
      <c r="A125" s="927" t="s">
        <v>664</v>
      </c>
      <c r="B125" s="927" t="s">
        <v>2021</v>
      </c>
      <c r="C125" s="932">
        <v>4200</v>
      </c>
      <c r="D125" s="929" t="str">
        <f>'Revenues 9-14'!A198</f>
        <v>Total Food Service</v>
      </c>
      <c r="E125" s="906"/>
      <c r="F125" s="1789">
        <f>SUM('Revenues 9-14'!C198,'Revenues 9-14'!G198)</f>
        <v>58945</v>
      </c>
      <c r="G125" s="930"/>
    </row>
    <row r="126" spans="1:7" x14ac:dyDescent="0.2">
      <c r="A126" s="927" t="s">
        <v>668</v>
      </c>
      <c r="B126" s="927" t="s">
        <v>2022</v>
      </c>
      <c r="C126" s="932">
        <v>4300</v>
      </c>
      <c r="D126" s="933" t="str">
        <f>'Revenues 9-14'!A204</f>
        <v>Total Title I</v>
      </c>
      <c r="E126" s="906"/>
      <c r="F126" s="1789">
        <f>SUM('Revenues 9-14'!C204,'Revenues 9-14'!D204,'Revenues 9-14'!F204,'Revenues 9-14'!G204)</f>
        <v>66580</v>
      </c>
      <c r="G126" s="930"/>
    </row>
    <row r="127" spans="1:7" x14ac:dyDescent="0.2">
      <c r="A127" s="927" t="s">
        <v>668</v>
      </c>
      <c r="B127" s="927" t="s">
        <v>2023</v>
      </c>
      <c r="C127" s="932">
        <v>4400</v>
      </c>
      <c r="D127" s="933" t="str">
        <f>'Revenues 9-14'!A209</f>
        <v>Total Title IV</v>
      </c>
      <c r="E127" s="906"/>
      <c r="F127" s="1789">
        <f>SUM('Revenues 9-14'!C209,'Revenues 9-14'!D209,'Revenues 9-14'!F209,'Revenues 9-14'!G209)</f>
        <v>10883</v>
      </c>
      <c r="G127" s="930"/>
    </row>
    <row r="128" spans="1:7" x14ac:dyDescent="0.2">
      <c r="A128" s="927" t="s">
        <v>668</v>
      </c>
      <c r="B128" s="927" t="s">
        <v>2024</v>
      </c>
      <c r="C128" s="932">
        <f>'Revenues 9-14'!B213</f>
        <v>4620</v>
      </c>
      <c r="D128" s="933" t="str">
        <f>'Revenues 9-14'!A213</f>
        <v>Fed - Spec Education - IDEA - Flow Through</v>
      </c>
      <c r="E128" s="906"/>
      <c r="F128" s="1789">
        <f>SUM('Revenues 9-14'!C213:D213,'Revenues 9-14'!F213:G213)</f>
        <v>0</v>
      </c>
      <c r="G128" s="930"/>
    </row>
    <row r="129" spans="1:7" x14ac:dyDescent="0.2">
      <c r="A129" s="927" t="s">
        <v>668</v>
      </c>
      <c r="B129" s="927" t="s">
        <v>2025</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668</v>
      </c>
      <c r="B130" s="927" t="s">
        <v>2026</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2027</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2028</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2029</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2030</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2031</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2032</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2033</v>
      </c>
      <c r="C138" s="935" t="s">
        <v>212</v>
      </c>
      <c r="D138" s="936" t="str">
        <f>'Revenues 9-14'!A229</f>
        <v>ARRA - IDEA - Part B - Preschool</v>
      </c>
      <c r="E138" s="937"/>
      <c r="F138" s="1789">
        <v>0</v>
      </c>
      <c r="G138" s="905"/>
    </row>
    <row r="139" spans="1:7" s="867" customFormat="1" hidden="1" x14ac:dyDescent="0.2">
      <c r="A139" s="934" t="s">
        <v>206</v>
      </c>
      <c r="B139" s="934" t="s">
        <v>2034</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2035</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2036</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2037</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2038</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2039</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2040</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2041</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2042</v>
      </c>
      <c r="C157" s="940" t="s">
        <v>841</v>
      </c>
      <c r="D157" s="941" t="s">
        <v>777</v>
      </c>
      <c r="E157" s="942"/>
      <c r="F157" s="1789">
        <f>SUM(F133:F156)</f>
        <v>0</v>
      </c>
      <c r="G157" s="905"/>
    </row>
    <row r="158" spans="1:7" s="867" customFormat="1" x14ac:dyDescent="0.2">
      <c r="A158" s="938" t="s">
        <v>459</v>
      </c>
      <c r="B158" s="939" t="s">
        <v>2043</v>
      </c>
      <c r="C158" s="940" t="s">
        <v>1427</v>
      </c>
      <c r="D158" s="941" t="s">
        <v>1428</v>
      </c>
      <c r="E158" s="942"/>
      <c r="F158" s="1789">
        <f>SUM('Revenues 9-14'!C253)</f>
        <v>0</v>
      </c>
      <c r="G158" s="905"/>
    </row>
    <row r="159" spans="1:7" s="867" customFormat="1" x14ac:dyDescent="0.2">
      <c r="A159" s="938" t="s">
        <v>500</v>
      </c>
      <c r="B159" s="939" t="s">
        <v>2044</v>
      </c>
      <c r="C159" s="940" t="s">
        <v>1466</v>
      </c>
      <c r="D159" s="941" t="s">
        <v>1467</v>
      </c>
      <c r="E159" s="942"/>
      <c r="F159" s="1789">
        <f>SUM('Revenues 9-14'!C254:H254,'Revenues 9-14'!J254:K254)</f>
        <v>0</v>
      </c>
      <c r="G159" s="905"/>
    </row>
    <row r="160" spans="1:7" x14ac:dyDescent="0.2">
      <c r="A160" s="927" t="s">
        <v>5</v>
      </c>
      <c r="B160" s="927" t="s">
        <v>2045</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2046</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2047</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2048</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2049</v>
      </c>
      <c r="C164" s="932">
        <f>'Revenues 9-14'!B259</f>
        <v>4932</v>
      </c>
      <c r="D164" s="933" t="str">
        <f>'Revenues 9-14'!A259</f>
        <v>Title II - Teacher Quality</v>
      </c>
      <c r="E164" s="906"/>
      <c r="F164" s="1907">
        <f>SUM('Revenues 9-14'!C259,'Revenues 9-14'!D259,'Revenues 9-14'!F259,'Revenues 9-14'!G259)</f>
        <v>11349</v>
      </c>
      <c r="G164" s="930"/>
    </row>
    <row r="165" spans="1:7" x14ac:dyDescent="0.2">
      <c r="A165" s="927" t="s">
        <v>668</v>
      </c>
      <c r="B165" s="927" t="s">
        <v>2050</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1995</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1996</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2051</v>
      </c>
      <c r="C168" s="932">
        <f>'Revenues 9-14'!B263</f>
        <v>4991</v>
      </c>
      <c r="D168" s="933" t="str">
        <f>'Revenues 9-14'!A263</f>
        <v>Medicaid Matching Funds - Administrative Outreach</v>
      </c>
      <c r="E168" s="906"/>
      <c r="F168" s="1789">
        <f>SUM('Revenues 9-14'!C263:D263,'Revenues 9-14'!F263:G263)</f>
        <v>4109</v>
      </c>
      <c r="G168" s="947">
        <v>6320</v>
      </c>
    </row>
    <row r="169" spans="1:7" x14ac:dyDescent="0.2">
      <c r="A169" s="927" t="s">
        <v>668</v>
      </c>
      <c r="B169" s="927" t="s">
        <v>2052</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668</v>
      </c>
      <c r="B170" s="944" t="s">
        <v>2053</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1919</v>
      </c>
      <c r="C171" s="1920">
        <v>3100</v>
      </c>
      <c r="D171" s="1921" t="s">
        <v>1921</v>
      </c>
      <c r="E171" s="906"/>
      <c r="F171" s="1906"/>
      <c r="G171" s="927"/>
    </row>
    <row r="172" spans="1:7" x14ac:dyDescent="0.2">
      <c r="A172" s="1918" t="s">
        <v>664</v>
      </c>
      <c r="B172" s="1919" t="s">
        <v>1919</v>
      </c>
      <c r="C172" s="1920">
        <v>3300</v>
      </c>
      <c r="D172" s="1921" t="s">
        <v>1922</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2054</v>
      </c>
      <c r="E174" s="1787" t="s">
        <v>958</v>
      </c>
      <c r="F174" s="1788">
        <f>SUM(F84:F132,F157:F172)</f>
        <v>381209</v>
      </c>
    </row>
    <row r="175" spans="1:7" ht="12" customHeight="1" x14ac:dyDescent="0.2">
      <c r="A175" s="1770"/>
      <c r="B175" s="1784"/>
      <c r="C175" s="1785"/>
      <c r="D175" s="1786" t="s">
        <v>2055</v>
      </c>
      <c r="E175" s="1787"/>
      <c r="F175" s="1789">
        <f>'PCTC-OEPP 27-28'!F77-F174</f>
        <v>3201347</v>
      </c>
    </row>
    <row r="176" spans="1:7" ht="12" customHeight="1" x14ac:dyDescent="0.2">
      <c r="A176" s="1770"/>
      <c r="B176" s="1784"/>
      <c r="C176" s="1785"/>
      <c r="D176" s="1786" t="s">
        <v>1817</v>
      </c>
      <c r="E176" s="1787"/>
      <c r="F176" s="1789">
        <f>'Cap Outlay Deprec 26'!I18</f>
        <v>214205</v>
      </c>
    </row>
    <row r="177" spans="1:7" ht="12" customHeight="1" x14ac:dyDescent="0.2">
      <c r="A177" s="1770"/>
      <c r="B177" s="1784"/>
      <c r="C177" s="1785"/>
      <c r="D177" s="1786" t="s">
        <v>2056</v>
      </c>
      <c r="E177" s="1787"/>
      <c r="F177" s="1789">
        <f>F175+F176</f>
        <v>3415552</v>
      </c>
    </row>
    <row r="178" spans="1:7" ht="12" customHeight="1" x14ac:dyDescent="0.2">
      <c r="A178" s="1770"/>
      <c r="B178" s="1790"/>
      <c r="C178" s="1785"/>
      <c r="D178" s="1786" t="str">
        <f>D78</f>
        <v>9 Month ADA from District Average Daily Attendance/Prior General State Aid Inquiry 2018-2019</v>
      </c>
      <c r="E178" s="1787"/>
      <c r="F178" s="1791">
        <f>'PCTC-OEPP 27-28'!F78</f>
        <v>292.7</v>
      </c>
      <c r="G178" s="930"/>
    </row>
    <row r="179" spans="1:7" ht="12" customHeight="1" thickBot="1" x14ac:dyDescent="0.25">
      <c r="A179" s="1770"/>
      <c r="B179" s="1790"/>
      <c r="C179" s="1785"/>
      <c r="D179" s="1786" t="s">
        <v>2057</v>
      </c>
      <c r="E179" s="1787" t="s">
        <v>1545</v>
      </c>
      <c r="F179" s="1792">
        <f>F177/F178</f>
        <v>11669.121967885207</v>
      </c>
      <c r="G179" s="856">
        <v>6323</v>
      </c>
    </row>
    <row r="180" spans="1:7" ht="12" thickTop="1" x14ac:dyDescent="0.2">
      <c r="B180" s="930"/>
      <c r="C180" s="949"/>
      <c r="D180" s="930"/>
      <c r="E180" s="949"/>
      <c r="F180" s="930"/>
      <c r="G180" s="951">
        <v>6326</v>
      </c>
    </row>
    <row r="181" spans="1:7" ht="12.2" customHeight="1" x14ac:dyDescent="0.2">
      <c r="A181" s="930" t="s">
        <v>1920</v>
      </c>
      <c r="B181" s="930"/>
      <c r="C181" s="949"/>
      <c r="D181" s="930"/>
      <c r="E181" s="949"/>
      <c r="F181" s="930"/>
      <c r="G181" s="930"/>
    </row>
    <row r="182" spans="1:7" s="1922" customFormat="1" ht="12.2" customHeight="1" x14ac:dyDescent="0.2">
      <c r="A182" s="1922" t="s">
        <v>1992</v>
      </c>
      <c r="B182" s="1923"/>
      <c r="C182" s="1924"/>
      <c r="D182" s="1923"/>
      <c r="E182" s="1924"/>
      <c r="F182" s="1923"/>
      <c r="G182" s="1923"/>
    </row>
    <row r="183" spans="1:7" s="1922" customFormat="1" ht="12.2" customHeight="1" x14ac:dyDescent="0.2">
      <c r="A183" s="1925" t="s">
        <v>1994</v>
      </c>
      <c r="C183" s="1924"/>
      <c r="D183" s="1923"/>
      <c r="E183" s="1924"/>
      <c r="F183" s="1923"/>
      <c r="G183" s="1923"/>
    </row>
    <row r="184" spans="1:7" ht="12" customHeight="1" x14ac:dyDescent="0.2">
      <c r="C184" s="949"/>
      <c r="D184" s="930"/>
      <c r="E184" s="949"/>
      <c r="F184" s="930"/>
      <c r="G184" s="930"/>
    </row>
    <row r="185" spans="1:7" x14ac:dyDescent="0.2">
      <c r="A185" s="1926" t="s">
        <v>1924</v>
      </c>
      <c r="B185" s="1927" t="s">
        <v>1923</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2"/>
  <sheetViews>
    <sheetView showGridLines="0" topLeftCell="A7" zoomScaleNormal="100" workbookViewId="0"/>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4" t="s">
        <v>1818</v>
      </c>
      <c r="B4" s="2275"/>
      <c r="C4" s="2275"/>
      <c r="D4" s="2275"/>
      <c r="E4" s="2275"/>
      <c r="F4" s="2275"/>
      <c r="G4" s="2276"/>
    </row>
    <row r="5" spans="1:7" x14ac:dyDescent="0.25">
      <c r="A5" s="2277"/>
      <c r="B5" s="2278"/>
      <c r="C5" s="2278"/>
      <c r="D5" s="2278"/>
      <c r="E5" s="2278"/>
      <c r="F5" s="2278"/>
      <c r="G5" s="2279"/>
    </row>
    <row r="6" spans="1:7" ht="18.75" x14ac:dyDescent="0.25">
      <c r="A6" s="1938" t="s">
        <v>2064</v>
      </c>
      <c r="B6" s="1939"/>
      <c r="C6" s="1939"/>
      <c r="D6" s="1939"/>
      <c r="E6" s="1939"/>
      <c r="F6" s="1939"/>
      <c r="G6" s="1940"/>
    </row>
    <row r="7" spans="1:7" ht="18.75" x14ac:dyDescent="0.25">
      <c r="A7" s="1534" t="s">
        <v>1819</v>
      </c>
      <c r="B7" s="1535"/>
      <c r="C7" s="1535"/>
      <c r="D7" s="1535"/>
      <c r="E7" s="1535"/>
      <c r="F7" s="1535"/>
      <c r="G7" s="1536"/>
    </row>
    <row r="8" spans="1:7" ht="30.75" customHeight="1" x14ac:dyDescent="0.25">
      <c r="A8" s="2280" t="s">
        <v>1931</v>
      </c>
      <c r="B8" s="2281"/>
      <c r="C8" s="2281"/>
      <c r="D8" s="2281"/>
      <c r="E8" s="2281"/>
      <c r="F8" s="2281"/>
      <c r="G8" s="2282"/>
    </row>
    <row r="9" spans="1:7" ht="15.75" customHeight="1" x14ac:dyDescent="0.25">
      <c r="A9" s="2283" t="s">
        <v>1906</v>
      </c>
      <c r="B9" s="2284"/>
      <c r="C9" s="2284"/>
      <c r="D9" s="2284"/>
      <c r="E9" s="2284"/>
      <c r="F9" s="2284"/>
      <c r="G9" s="2285"/>
    </row>
    <row r="10" spans="1:7" ht="35.25" customHeight="1" x14ac:dyDescent="0.25">
      <c r="A10" s="2280" t="s">
        <v>2063</v>
      </c>
      <c r="B10" s="2281"/>
      <c r="C10" s="2281"/>
      <c r="D10" s="2281"/>
      <c r="E10" s="2281"/>
      <c r="F10" s="2281"/>
      <c r="G10" s="2282"/>
    </row>
    <row r="11" spans="1:7" ht="15" customHeight="1" x14ac:dyDescent="0.25">
      <c r="A11" s="1537" t="s">
        <v>1820</v>
      </c>
      <c r="B11" s="1538"/>
      <c r="C11" s="1538"/>
      <c r="D11" s="1538"/>
      <c r="E11" s="1538"/>
      <c r="F11" s="1538"/>
      <c r="G11" s="1539"/>
    </row>
    <row r="12" spans="1:7" ht="17.25" customHeight="1" x14ac:dyDescent="0.25">
      <c r="A12" s="2280" t="s">
        <v>1933</v>
      </c>
      <c r="B12" s="2281"/>
      <c r="C12" s="2281"/>
      <c r="D12" s="2281"/>
      <c r="E12" s="2281"/>
      <c r="F12" s="2281"/>
      <c r="G12" s="2282"/>
    </row>
    <row r="13" spans="1:7" ht="15" customHeight="1" x14ac:dyDescent="0.25">
      <c r="A13" s="1537" t="s">
        <v>1825</v>
      </c>
      <c r="B13" s="1538"/>
      <c r="C13" s="1538"/>
      <c r="D13" s="1538"/>
      <c r="E13" s="1538"/>
      <c r="F13" s="1538"/>
      <c r="G13" s="1539"/>
    </row>
    <row r="14" spans="1:7" ht="32.25" customHeight="1" x14ac:dyDescent="0.25">
      <c r="A14" s="2271" t="s">
        <v>1974</v>
      </c>
      <c r="B14" s="2272"/>
      <c r="C14" s="2272"/>
      <c r="D14" s="2272"/>
      <c r="E14" s="2272"/>
      <c r="F14" s="2272"/>
      <c r="G14" s="2273"/>
    </row>
    <row r="15" spans="1:7" x14ac:dyDescent="0.25">
      <c r="A15" s="1661" t="s">
        <v>1833</v>
      </c>
      <c r="B15" s="1662"/>
      <c r="C15" s="1662"/>
      <c r="D15" s="1662"/>
      <c r="E15" s="1662"/>
      <c r="F15" s="1662"/>
      <c r="G15" s="1663"/>
    </row>
    <row r="16" spans="1:7" ht="61.5" customHeight="1" x14ac:dyDescent="0.25">
      <c r="A16" s="1546" t="s">
        <v>1826</v>
      </c>
      <c r="B16" s="1546" t="s">
        <v>1827</v>
      </c>
      <c r="C16" s="1546" t="s">
        <v>1828</v>
      </c>
      <c r="D16" s="1547" t="s">
        <v>1829</v>
      </c>
      <c r="E16" s="1547" t="s">
        <v>1821</v>
      </c>
      <c r="F16" s="1547" t="s">
        <v>1830</v>
      </c>
      <c r="G16" s="1547" t="s">
        <v>1831</v>
      </c>
    </row>
    <row r="17" spans="1:8" x14ac:dyDescent="0.25">
      <c r="A17" s="1648" t="s">
        <v>1834</v>
      </c>
      <c r="B17" s="1649" t="s">
        <v>1824</v>
      </c>
      <c r="C17" s="1650" t="s">
        <v>1822</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1" t="s">
        <v>2089</v>
      </c>
      <c r="B18" s="1936"/>
      <c r="C18" s="1656"/>
      <c r="D18" s="1844"/>
      <c r="E18" s="1540">
        <f t="shared" ref="E18:E142" si="0">IF(D18&lt;=25000,D18,IF(D18&gt;25000,25000,0))</f>
        <v>0</v>
      </c>
      <c r="F18" s="1937">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0</v>
      </c>
      <c r="G18" s="1793">
        <f>IF(F18=0,0,D18-F18)</f>
        <v>0</v>
      </c>
      <c r="H18" s="1647"/>
    </row>
    <row r="19" spans="1:8" x14ac:dyDescent="0.25">
      <c r="A19" s="1653"/>
      <c r="B19" s="1933"/>
      <c r="C19" s="1656"/>
      <c r="D19" s="1844"/>
      <c r="E19" s="1540">
        <f t="shared" ref="E19:E141" si="2">IF(D19&lt;=25000,D19,IF(D19&gt;25000,25000,0))</f>
        <v>0</v>
      </c>
      <c r="F19" s="1937">
        <f t="shared" si="1"/>
        <v>0</v>
      </c>
      <c r="G19" s="1793">
        <f t="shared" ref="G19:G141" si="3">IF(F19=0,0,D19-F19)</f>
        <v>0</v>
      </c>
    </row>
    <row r="20" spans="1:8" x14ac:dyDescent="0.25">
      <c r="A20" s="1653"/>
      <c r="B20" s="1933"/>
      <c r="C20" s="1656"/>
      <c r="D20" s="1844"/>
      <c r="E20" s="1540">
        <f t="shared" si="2"/>
        <v>0</v>
      </c>
      <c r="F20" s="1937">
        <f t="shared" si="1"/>
        <v>0</v>
      </c>
      <c r="G20" s="1793">
        <f t="shared" si="3"/>
        <v>0</v>
      </c>
    </row>
    <row r="21" spans="1:8" x14ac:dyDescent="0.25">
      <c r="A21" s="1653"/>
      <c r="B21" s="1933"/>
      <c r="C21" s="1656"/>
      <c r="D21" s="1844"/>
      <c r="E21" s="1540">
        <f t="shared" si="2"/>
        <v>0</v>
      </c>
      <c r="F21" s="1937">
        <f t="shared" si="1"/>
        <v>0</v>
      </c>
      <c r="G21" s="1793">
        <f t="shared" si="3"/>
        <v>0</v>
      </c>
    </row>
    <row r="22" spans="1:8" x14ac:dyDescent="0.25">
      <c r="A22" s="1653"/>
      <c r="B22" s="1933"/>
      <c r="C22" s="1656"/>
      <c r="D22" s="1844"/>
      <c r="E22" s="1540">
        <f t="shared" si="2"/>
        <v>0</v>
      </c>
      <c r="F22" s="1937">
        <f t="shared" si="1"/>
        <v>0</v>
      </c>
      <c r="G22" s="1793">
        <f t="shared" si="3"/>
        <v>0</v>
      </c>
    </row>
    <row r="23" spans="1:8" x14ac:dyDescent="0.25">
      <c r="A23" s="1653"/>
      <c r="B23" s="1933"/>
      <c r="C23" s="1656"/>
      <c r="D23" s="1844"/>
      <c r="E23" s="1540">
        <f t="shared" si="2"/>
        <v>0</v>
      </c>
      <c r="F23" s="1937">
        <f t="shared" si="1"/>
        <v>0</v>
      </c>
      <c r="G23" s="1793">
        <f t="shared" si="3"/>
        <v>0</v>
      </c>
    </row>
    <row r="24" spans="1:8" x14ac:dyDescent="0.25">
      <c r="A24" s="1653"/>
      <c r="B24" s="1933"/>
      <c r="C24" s="1656"/>
      <c r="D24" s="1844"/>
      <c r="E24" s="1540">
        <f t="shared" si="2"/>
        <v>0</v>
      </c>
      <c r="F24" s="1937">
        <f t="shared" si="1"/>
        <v>0</v>
      </c>
      <c r="G24" s="1793">
        <f t="shared" si="3"/>
        <v>0</v>
      </c>
    </row>
    <row r="25" spans="1:8" x14ac:dyDescent="0.25">
      <c r="A25" s="1653"/>
      <c r="B25" s="1933"/>
      <c r="C25" s="1656"/>
      <c r="D25" s="1844"/>
      <c r="E25" s="1540">
        <f t="shared" si="2"/>
        <v>0</v>
      </c>
      <c r="F25" s="1937">
        <f t="shared" si="1"/>
        <v>0</v>
      </c>
      <c r="G25" s="1793">
        <f t="shared" si="3"/>
        <v>0</v>
      </c>
    </row>
    <row r="26" spans="1:8" x14ac:dyDescent="0.25">
      <c r="A26" s="1653"/>
      <c r="B26" s="1933"/>
      <c r="C26" s="1656"/>
      <c r="D26" s="1844"/>
      <c r="E26" s="1540">
        <f t="shared" si="2"/>
        <v>0</v>
      </c>
      <c r="F26" s="1937">
        <f t="shared" si="1"/>
        <v>0</v>
      </c>
      <c r="G26" s="1793">
        <f t="shared" si="3"/>
        <v>0</v>
      </c>
    </row>
    <row r="27" spans="1:8" x14ac:dyDescent="0.25">
      <c r="A27" s="1653"/>
      <c r="B27" s="1933"/>
      <c r="C27" s="1654"/>
      <c r="D27" s="1844"/>
      <c r="E27" s="1540">
        <f t="shared" si="2"/>
        <v>0</v>
      </c>
      <c r="F27" s="1937">
        <f t="shared" si="1"/>
        <v>0</v>
      </c>
      <c r="G27" s="1793">
        <f t="shared" si="3"/>
        <v>0</v>
      </c>
    </row>
    <row r="28" spans="1:8" x14ac:dyDescent="0.25">
      <c r="A28" s="1653"/>
      <c r="B28" s="1933"/>
      <c r="C28" s="1654"/>
      <c r="D28" s="1844"/>
      <c r="E28" s="1540">
        <f t="shared" si="2"/>
        <v>0</v>
      </c>
      <c r="F28" s="1937">
        <f t="shared" si="1"/>
        <v>0</v>
      </c>
      <c r="G28" s="1793">
        <f t="shared" si="3"/>
        <v>0</v>
      </c>
    </row>
    <row r="29" spans="1:8" x14ac:dyDescent="0.25">
      <c r="A29" s="1653"/>
      <c r="B29" s="1933"/>
      <c r="C29" s="1654"/>
      <c r="D29" s="1844"/>
      <c r="E29" s="1540">
        <f t="shared" si="2"/>
        <v>0</v>
      </c>
      <c r="F29" s="1937">
        <f t="shared" si="1"/>
        <v>0</v>
      </c>
      <c r="G29" s="1793">
        <f t="shared" si="3"/>
        <v>0</v>
      </c>
    </row>
    <row r="30" spans="1:8" x14ac:dyDescent="0.25">
      <c r="A30" s="1653"/>
      <c r="B30" s="1933"/>
      <c r="C30" s="1654"/>
      <c r="D30" s="1844"/>
      <c r="E30" s="1540">
        <f t="shared" si="2"/>
        <v>0</v>
      </c>
      <c r="F30" s="1937">
        <f t="shared" si="1"/>
        <v>0</v>
      </c>
      <c r="G30" s="1793">
        <f t="shared" si="3"/>
        <v>0</v>
      </c>
    </row>
    <row r="31" spans="1:8" x14ac:dyDescent="0.25">
      <c r="A31" s="1653"/>
      <c r="B31" s="1933"/>
      <c r="C31" s="1654"/>
      <c r="D31" s="1844"/>
      <c r="E31" s="1540">
        <f t="shared" si="2"/>
        <v>0</v>
      </c>
      <c r="F31" s="1937">
        <f t="shared" si="1"/>
        <v>0</v>
      </c>
      <c r="G31" s="1793">
        <f t="shared" si="3"/>
        <v>0</v>
      </c>
    </row>
    <row r="32" spans="1:8" x14ac:dyDescent="0.25">
      <c r="A32" s="1653"/>
      <c r="B32" s="1933"/>
      <c r="C32" s="1654"/>
      <c r="D32" s="1844"/>
      <c r="E32" s="1540">
        <f t="shared" si="2"/>
        <v>0</v>
      </c>
      <c r="F32" s="1937">
        <f t="shared" si="1"/>
        <v>0</v>
      </c>
      <c r="G32" s="1793">
        <f t="shared" si="3"/>
        <v>0</v>
      </c>
    </row>
    <row r="33" spans="1:7" x14ac:dyDescent="0.25">
      <c r="A33" s="1653"/>
      <c r="B33" s="1933"/>
      <c r="C33" s="1654"/>
      <c r="D33" s="1844"/>
      <c r="E33" s="1540">
        <f t="shared" si="2"/>
        <v>0</v>
      </c>
      <c r="F33" s="1937">
        <f t="shared" si="1"/>
        <v>0</v>
      </c>
      <c r="G33" s="1793">
        <f t="shared" si="3"/>
        <v>0</v>
      </c>
    </row>
    <row r="34" spans="1:7" x14ac:dyDescent="0.25">
      <c r="A34" s="1653"/>
      <c r="B34" s="1933"/>
      <c r="C34" s="1654"/>
      <c r="D34" s="1844"/>
      <c r="E34" s="1540">
        <f t="shared" si="2"/>
        <v>0</v>
      </c>
      <c r="F34" s="1937">
        <f t="shared" si="1"/>
        <v>0</v>
      </c>
      <c r="G34" s="1793">
        <f t="shared" si="3"/>
        <v>0</v>
      </c>
    </row>
    <row r="35" spans="1:7" x14ac:dyDescent="0.25">
      <c r="A35" s="1653"/>
      <c r="B35" s="1933"/>
      <c r="C35" s="1654"/>
      <c r="D35" s="1844"/>
      <c r="E35" s="1540">
        <f t="shared" si="2"/>
        <v>0</v>
      </c>
      <c r="F35" s="1937">
        <f t="shared" si="1"/>
        <v>0</v>
      </c>
      <c r="G35" s="1793">
        <f t="shared" si="3"/>
        <v>0</v>
      </c>
    </row>
    <row r="36" spans="1:7" x14ac:dyDescent="0.25">
      <c r="A36" s="1653"/>
      <c r="B36" s="1933"/>
      <c r="C36" s="1654"/>
      <c r="D36" s="1844"/>
      <c r="E36" s="1540">
        <f t="shared" si="2"/>
        <v>0</v>
      </c>
      <c r="F36" s="1937">
        <f t="shared" si="1"/>
        <v>0</v>
      </c>
      <c r="G36" s="1793">
        <f t="shared" si="3"/>
        <v>0</v>
      </c>
    </row>
    <row r="37" spans="1:7" x14ac:dyDescent="0.25">
      <c r="A37" s="1653"/>
      <c r="B37" s="1933"/>
      <c r="C37" s="1654"/>
      <c r="D37" s="1844"/>
      <c r="E37" s="1540">
        <f t="shared" si="2"/>
        <v>0</v>
      </c>
      <c r="F37" s="1937">
        <f t="shared" si="1"/>
        <v>0</v>
      </c>
      <c r="G37" s="1793">
        <f t="shared" si="3"/>
        <v>0</v>
      </c>
    </row>
    <row r="38" spans="1:7" x14ac:dyDescent="0.25">
      <c r="A38" s="1653"/>
      <c r="B38" s="1933"/>
      <c r="C38" s="1654"/>
      <c r="D38" s="1844"/>
      <c r="E38" s="1540">
        <f t="shared" si="2"/>
        <v>0</v>
      </c>
      <c r="F38" s="1937">
        <f t="shared" si="1"/>
        <v>0</v>
      </c>
      <c r="G38" s="1793">
        <f t="shared" si="3"/>
        <v>0</v>
      </c>
    </row>
    <row r="39" spans="1:7" x14ac:dyDescent="0.25">
      <c r="A39" s="1653"/>
      <c r="B39" s="1934"/>
      <c r="C39" s="1654"/>
      <c r="D39" s="1844"/>
      <c r="E39" s="1540">
        <f t="shared" si="2"/>
        <v>0</v>
      </c>
      <c r="F39" s="1937">
        <f t="shared" si="1"/>
        <v>0</v>
      </c>
      <c r="G39" s="1793">
        <f t="shared" si="3"/>
        <v>0</v>
      </c>
    </row>
    <row r="40" spans="1:7" x14ac:dyDescent="0.25">
      <c r="A40" s="1653"/>
      <c r="B40" s="1934"/>
      <c r="C40" s="1654"/>
      <c r="D40" s="1844"/>
      <c r="E40" s="1540">
        <f t="shared" si="2"/>
        <v>0</v>
      </c>
      <c r="F40" s="1937">
        <f t="shared" si="1"/>
        <v>0</v>
      </c>
      <c r="G40" s="1793">
        <f t="shared" si="3"/>
        <v>0</v>
      </c>
    </row>
    <row r="41" spans="1:7" x14ac:dyDescent="0.25">
      <c r="A41" s="1653"/>
      <c r="B41" s="1934"/>
      <c r="C41" s="1654"/>
      <c r="D41" s="1844"/>
      <c r="E41" s="1540">
        <f t="shared" si="2"/>
        <v>0</v>
      </c>
      <c r="F41" s="1937">
        <f t="shared" si="1"/>
        <v>0</v>
      </c>
      <c r="G41" s="1793">
        <f t="shared" si="3"/>
        <v>0</v>
      </c>
    </row>
    <row r="42" spans="1:7" x14ac:dyDescent="0.25">
      <c r="A42" s="1653"/>
      <c r="B42" s="1934"/>
      <c r="C42" s="1654"/>
      <c r="D42" s="1844"/>
      <c r="E42" s="1540">
        <f t="shared" si="2"/>
        <v>0</v>
      </c>
      <c r="F42" s="1937">
        <f t="shared" si="1"/>
        <v>0</v>
      </c>
      <c r="G42" s="1793">
        <f t="shared" si="3"/>
        <v>0</v>
      </c>
    </row>
    <row r="43" spans="1:7" x14ac:dyDescent="0.25">
      <c r="A43" s="1653"/>
      <c r="B43" s="1934"/>
      <c r="C43" s="1654"/>
      <c r="D43" s="1844"/>
      <c r="E43" s="1540">
        <f t="shared" si="2"/>
        <v>0</v>
      </c>
      <c r="F43" s="1937">
        <f t="shared" si="1"/>
        <v>0</v>
      </c>
      <c r="G43" s="1793">
        <f t="shared" si="3"/>
        <v>0</v>
      </c>
    </row>
    <row r="44" spans="1:7" x14ac:dyDescent="0.25">
      <c r="A44" s="1653"/>
      <c r="B44" s="1934"/>
      <c r="C44" s="1654"/>
      <c r="D44" s="1844"/>
      <c r="E44" s="1540">
        <f t="shared" si="2"/>
        <v>0</v>
      </c>
      <c r="F44" s="1937">
        <f t="shared" si="1"/>
        <v>0</v>
      </c>
      <c r="G44" s="1793">
        <f t="shared" si="3"/>
        <v>0</v>
      </c>
    </row>
    <row r="45" spans="1:7" x14ac:dyDescent="0.25">
      <c r="A45" s="1653"/>
      <c r="B45" s="1934"/>
      <c r="C45" s="1654"/>
      <c r="D45" s="1844"/>
      <c r="E45" s="1540">
        <f t="shared" si="2"/>
        <v>0</v>
      </c>
      <c r="F45" s="1937">
        <f t="shared" si="1"/>
        <v>0</v>
      </c>
      <c r="G45" s="1793">
        <f t="shared" si="3"/>
        <v>0</v>
      </c>
    </row>
    <row r="46" spans="1:7" x14ac:dyDescent="0.25">
      <c r="A46" s="1653"/>
      <c r="B46" s="1934"/>
      <c r="C46" s="1654"/>
      <c r="D46" s="1844"/>
      <c r="E46" s="1540">
        <f t="shared" si="2"/>
        <v>0</v>
      </c>
      <c r="F46" s="1937">
        <f t="shared" si="1"/>
        <v>0</v>
      </c>
      <c r="G46" s="1793">
        <f t="shared" si="3"/>
        <v>0</v>
      </c>
    </row>
    <row r="47" spans="1:7" x14ac:dyDescent="0.25">
      <c r="A47" s="1653"/>
      <c r="B47" s="1667"/>
      <c r="C47" s="1654"/>
      <c r="D47" s="1844"/>
      <c r="E47" s="1540">
        <f t="shared" si="2"/>
        <v>0</v>
      </c>
      <c r="F47" s="1937">
        <f t="shared" si="1"/>
        <v>0</v>
      </c>
      <c r="G47" s="1793">
        <f t="shared" si="3"/>
        <v>0</v>
      </c>
    </row>
    <row r="48" spans="1:7" x14ac:dyDescent="0.25">
      <c r="A48" s="1653"/>
      <c r="B48" s="1667"/>
      <c r="C48" s="1654"/>
      <c r="D48" s="1844"/>
      <c r="E48" s="1540">
        <f t="shared" si="2"/>
        <v>0</v>
      </c>
      <c r="F48" s="1937">
        <f t="shared" si="1"/>
        <v>0</v>
      </c>
      <c r="G48" s="1793">
        <f t="shared" si="3"/>
        <v>0</v>
      </c>
    </row>
    <row r="49" spans="1:7" x14ac:dyDescent="0.25">
      <c r="A49" s="1653"/>
      <c r="B49" s="1667"/>
      <c r="C49" s="1654"/>
      <c r="D49" s="1844"/>
      <c r="E49" s="1540">
        <f t="shared" si="2"/>
        <v>0</v>
      </c>
      <c r="F49" s="1937">
        <f t="shared" si="1"/>
        <v>0</v>
      </c>
      <c r="G49" s="1793">
        <f t="shared" si="3"/>
        <v>0</v>
      </c>
    </row>
    <row r="50" spans="1:7" x14ac:dyDescent="0.25">
      <c r="A50" s="1653"/>
      <c r="B50" s="1667"/>
      <c r="C50" s="1654"/>
      <c r="D50" s="1844"/>
      <c r="E50" s="1540">
        <f t="shared" si="2"/>
        <v>0</v>
      </c>
      <c r="F50" s="1937">
        <f t="shared" si="1"/>
        <v>0</v>
      </c>
      <c r="G50" s="1793">
        <f t="shared" si="3"/>
        <v>0</v>
      </c>
    </row>
    <row r="51" spans="1:7" x14ac:dyDescent="0.25">
      <c r="A51" s="1653"/>
      <c r="B51" s="1667"/>
      <c r="C51" s="1654"/>
      <c r="D51" s="1844"/>
      <c r="E51" s="1540">
        <f t="shared" si="2"/>
        <v>0</v>
      </c>
      <c r="F51" s="1937">
        <f t="shared" si="1"/>
        <v>0</v>
      </c>
      <c r="G51" s="1793">
        <f t="shared" si="3"/>
        <v>0</v>
      </c>
    </row>
    <row r="52" spans="1:7" x14ac:dyDescent="0.25">
      <c r="A52" s="1653"/>
      <c r="B52" s="1667"/>
      <c r="C52" s="1654"/>
      <c r="D52" s="1844"/>
      <c r="E52" s="1540">
        <f t="shared" si="2"/>
        <v>0</v>
      </c>
      <c r="F52" s="1937">
        <f t="shared" si="1"/>
        <v>0</v>
      </c>
      <c r="G52" s="1793">
        <f t="shared" si="3"/>
        <v>0</v>
      </c>
    </row>
    <row r="53" spans="1:7" x14ac:dyDescent="0.25">
      <c r="A53" s="1653"/>
      <c r="B53" s="1667"/>
      <c r="C53" s="1654"/>
      <c r="D53" s="1844"/>
      <c r="E53" s="1540">
        <f t="shared" si="2"/>
        <v>0</v>
      </c>
      <c r="F53" s="1937">
        <f t="shared" si="1"/>
        <v>0</v>
      </c>
      <c r="G53" s="1793">
        <f t="shared" si="3"/>
        <v>0</v>
      </c>
    </row>
    <row r="54" spans="1:7" x14ac:dyDescent="0.25">
      <c r="A54" s="1653"/>
      <c r="B54" s="1667"/>
      <c r="C54" s="1654"/>
      <c r="D54" s="1844"/>
      <c r="E54" s="1540">
        <f t="shared" si="2"/>
        <v>0</v>
      </c>
      <c r="F54" s="1937">
        <f t="shared" si="1"/>
        <v>0</v>
      </c>
      <c r="G54" s="1793">
        <f t="shared" si="3"/>
        <v>0</v>
      </c>
    </row>
    <row r="55" spans="1:7" x14ac:dyDescent="0.25">
      <c r="A55" s="1653"/>
      <c r="B55" s="1667"/>
      <c r="C55" s="1654"/>
      <c r="D55" s="1844"/>
      <c r="E55" s="1540">
        <f t="shared" si="2"/>
        <v>0</v>
      </c>
      <c r="F55" s="1937">
        <f t="shared" si="1"/>
        <v>0</v>
      </c>
      <c r="G55" s="1793">
        <f t="shared" si="3"/>
        <v>0</v>
      </c>
    </row>
    <row r="56" spans="1:7" x14ac:dyDescent="0.25">
      <c r="A56" s="1653"/>
      <c r="B56" s="1667"/>
      <c r="C56" s="1654"/>
      <c r="D56" s="1844"/>
      <c r="E56" s="1540">
        <f t="shared" si="2"/>
        <v>0</v>
      </c>
      <c r="F56" s="1937">
        <f t="shared" si="1"/>
        <v>0</v>
      </c>
      <c r="G56" s="1793">
        <f t="shared" si="3"/>
        <v>0</v>
      </c>
    </row>
    <row r="57" spans="1:7" x14ac:dyDescent="0.25">
      <c r="A57" s="1653"/>
      <c r="B57" s="1667"/>
      <c r="C57" s="1654"/>
      <c r="D57" s="1844"/>
      <c r="E57" s="1540">
        <f t="shared" si="2"/>
        <v>0</v>
      </c>
      <c r="F57" s="1937">
        <f t="shared" si="1"/>
        <v>0</v>
      </c>
      <c r="G57" s="1793">
        <f t="shared" si="3"/>
        <v>0</v>
      </c>
    </row>
    <row r="58" spans="1:7" x14ac:dyDescent="0.25">
      <c r="A58" s="1653"/>
      <c r="B58" s="1667"/>
      <c r="C58" s="1654"/>
      <c r="D58" s="1844"/>
      <c r="E58" s="1540">
        <f t="shared" si="2"/>
        <v>0</v>
      </c>
      <c r="F58" s="1937">
        <f t="shared" si="1"/>
        <v>0</v>
      </c>
      <c r="G58" s="1793">
        <f t="shared" si="3"/>
        <v>0</v>
      </c>
    </row>
    <row r="59" spans="1:7" x14ac:dyDescent="0.25">
      <c r="A59" s="1653"/>
      <c r="B59" s="1667"/>
      <c r="C59" s="1654"/>
      <c r="D59" s="1844"/>
      <c r="E59" s="1540">
        <f t="shared" si="2"/>
        <v>0</v>
      </c>
      <c r="F59" s="1937">
        <f t="shared" si="1"/>
        <v>0</v>
      </c>
      <c r="G59" s="1793">
        <f t="shared" si="3"/>
        <v>0</v>
      </c>
    </row>
    <row r="60" spans="1:7" x14ac:dyDescent="0.25">
      <c r="A60" s="1653"/>
      <c r="B60" s="1667"/>
      <c r="C60" s="1654"/>
      <c r="D60" s="1844"/>
      <c r="E60" s="1540">
        <f t="shared" si="2"/>
        <v>0</v>
      </c>
      <c r="F60" s="1937">
        <f t="shared" si="1"/>
        <v>0</v>
      </c>
      <c r="G60" s="1793">
        <f t="shared" si="3"/>
        <v>0</v>
      </c>
    </row>
    <row r="61" spans="1:7" x14ac:dyDescent="0.25">
      <c r="A61" s="1653"/>
      <c r="B61" s="1667"/>
      <c r="C61" s="1654"/>
      <c r="D61" s="1844"/>
      <c r="E61" s="1540">
        <f t="shared" si="2"/>
        <v>0</v>
      </c>
      <c r="F61" s="1937">
        <f t="shared" si="1"/>
        <v>0</v>
      </c>
      <c r="G61" s="1793">
        <f t="shared" si="3"/>
        <v>0</v>
      </c>
    </row>
    <row r="62" spans="1:7" x14ac:dyDescent="0.25">
      <c r="A62" s="1653"/>
      <c r="B62" s="1667"/>
      <c r="C62" s="1654"/>
      <c r="D62" s="1844"/>
      <c r="E62" s="1540">
        <f t="shared" si="2"/>
        <v>0</v>
      </c>
      <c r="F62" s="1937">
        <f t="shared" si="1"/>
        <v>0</v>
      </c>
      <c r="G62" s="1793">
        <f t="shared" si="3"/>
        <v>0</v>
      </c>
    </row>
    <row r="63" spans="1:7" x14ac:dyDescent="0.25">
      <c r="A63" s="1653"/>
      <c r="B63" s="1667"/>
      <c r="C63" s="1654"/>
      <c r="D63" s="1844"/>
      <c r="E63" s="1540">
        <f t="shared" si="2"/>
        <v>0</v>
      </c>
      <c r="F63" s="1937">
        <f t="shared" si="1"/>
        <v>0</v>
      </c>
      <c r="G63" s="1793">
        <f t="shared" si="3"/>
        <v>0</v>
      </c>
    </row>
    <row r="64" spans="1:7" x14ac:dyDescent="0.25">
      <c r="A64" s="1653"/>
      <c r="B64" s="1667"/>
      <c r="C64" s="1654"/>
      <c r="D64" s="1844"/>
      <c r="E64" s="1540">
        <f t="shared" si="2"/>
        <v>0</v>
      </c>
      <c r="F64" s="1937">
        <f t="shared" si="1"/>
        <v>0</v>
      </c>
      <c r="G64" s="1793">
        <f t="shared" si="3"/>
        <v>0</v>
      </c>
    </row>
    <row r="65" spans="1:7" x14ac:dyDescent="0.25">
      <c r="A65" s="1655"/>
      <c r="B65" s="1667"/>
      <c r="C65" s="1656"/>
      <c r="D65" s="1844"/>
      <c r="E65" s="1540">
        <f t="shared" si="2"/>
        <v>0</v>
      </c>
      <c r="F65" s="1937">
        <f t="shared" si="1"/>
        <v>0</v>
      </c>
      <c r="G65" s="1793">
        <f t="shared" si="3"/>
        <v>0</v>
      </c>
    </row>
    <row r="66" spans="1:7" x14ac:dyDescent="0.25">
      <c r="A66" s="1653"/>
      <c r="B66" s="1667"/>
      <c r="C66" s="1654"/>
      <c r="D66" s="1844"/>
      <c r="E66" s="1540">
        <f t="shared" si="2"/>
        <v>0</v>
      </c>
      <c r="F66" s="1937">
        <f t="shared" si="1"/>
        <v>0</v>
      </c>
      <c r="G66" s="1793">
        <f t="shared" si="3"/>
        <v>0</v>
      </c>
    </row>
    <row r="67" spans="1:7" x14ac:dyDescent="0.25">
      <c r="A67" s="1653"/>
      <c r="B67" s="1667"/>
      <c r="C67" s="1654"/>
      <c r="D67" s="1844"/>
      <c r="E67" s="1540">
        <f t="shared" si="2"/>
        <v>0</v>
      </c>
      <c r="F67" s="1937">
        <f t="shared" si="1"/>
        <v>0</v>
      </c>
      <c r="G67" s="1793">
        <f t="shared" si="3"/>
        <v>0</v>
      </c>
    </row>
    <row r="68" spans="1:7" x14ac:dyDescent="0.25">
      <c r="A68" s="1653"/>
      <c r="B68" s="1667"/>
      <c r="C68" s="1654"/>
      <c r="D68" s="1844"/>
      <c r="E68" s="1540">
        <f t="shared" si="2"/>
        <v>0</v>
      </c>
      <c r="F68" s="1937">
        <f t="shared" si="1"/>
        <v>0</v>
      </c>
      <c r="G68" s="1793">
        <f t="shared" si="3"/>
        <v>0</v>
      </c>
    </row>
    <row r="69" spans="1:7" x14ac:dyDescent="0.25">
      <c r="A69" s="1653"/>
      <c r="B69" s="1667"/>
      <c r="C69" s="1654"/>
      <c r="D69" s="1844"/>
      <c r="E69" s="1540">
        <f t="shared" si="2"/>
        <v>0</v>
      </c>
      <c r="F69" s="1937">
        <f t="shared" si="1"/>
        <v>0</v>
      </c>
      <c r="G69" s="1793">
        <f t="shared" si="3"/>
        <v>0</v>
      </c>
    </row>
    <row r="70" spans="1:7" x14ac:dyDescent="0.25">
      <c r="A70" s="1653"/>
      <c r="B70" s="1667"/>
      <c r="C70" s="1654"/>
      <c r="D70" s="1844"/>
      <c r="E70" s="1540">
        <f t="shared" si="2"/>
        <v>0</v>
      </c>
      <c r="F70" s="1937">
        <f t="shared" si="1"/>
        <v>0</v>
      </c>
      <c r="G70" s="1793">
        <f t="shared" si="3"/>
        <v>0</v>
      </c>
    </row>
    <row r="71" spans="1:7" x14ac:dyDescent="0.25">
      <c r="A71" s="1653"/>
      <c r="B71" s="1667"/>
      <c r="C71" s="1654"/>
      <c r="D71" s="1844"/>
      <c r="E71" s="1540">
        <f t="shared" si="2"/>
        <v>0</v>
      </c>
      <c r="F71" s="1937">
        <f t="shared" si="1"/>
        <v>0</v>
      </c>
      <c r="G71" s="1793">
        <f t="shared" si="3"/>
        <v>0</v>
      </c>
    </row>
    <row r="72" spans="1:7" x14ac:dyDescent="0.25">
      <c r="A72" s="1653"/>
      <c r="B72" s="1667"/>
      <c r="C72" s="1654"/>
      <c r="D72" s="1844"/>
      <c r="E72" s="1540">
        <f t="shared" si="2"/>
        <v>0</v>
      </c>
      <c r="F72" s="1937">
        <f t="shared" si="1"/>
        <v>0</v>
      </c>
      <c r="G72" s="1793">
        <f t="shared" si="3"/>
        <v>0</v>
      </c>
    </row>
    <row r="73" spans="1:7" x14ac:dyDescent="0.25">
      <c r="A73" s="1653"/>
      <c r="B73" s="1667"/>
      <c r="C73" s="1654"/>
      <c r="D73" s="1844"/>
      <c r="E73" s="1540">
        <f t="shared" si="2"/>
        <v>0</v>
      </c>
      <c r="F73" s="1937">
        <f t="shared" si="1"/>
        <v>0</v>
      </c>
      <c r="G73" s="1793">
        <f t="shared" si="3"/>
        <v>0</v>
      </c>
    </row>
    <row r="74" spans="1:7" x14ac:dyDescent="0.25">
      <c r="A74" s="1653"/>
      <c r="B74" s="1667"/>
      <c r="C74" s="1654"/>
      <c r="D74" s="1844"/>
      <c r="E74" s="1540">
        <f t="shared" ref="E74:E85" si="4">IF(D74&lt;=25000,D74,IF(D74&gt;25000,25000,0))</f>
        <v>0</v>
      </c>
      <c r="F74" s="1937">
        <f t="shared" si="1"/>
        <v>0</v>
      </c>
      <c r="G74" s="1793">
        <f t="shared" ref="G74:G85" si="5">IF(F74=0,0,D74-F74)</f>
        <v>0</v>
      </c>
    </row>
    <row r="75" spans="1:7" x14ac:dyDescent="0.25">
      <c r="A75" s="1653"/>
      <c r="B75" s="1667"/>
      <c r="C75" s="1654"/>
      <c r="D75" s="1844"/>
      <c r="E75" s="1540">
        <f t="shared" si="4"/>
        <v>0</v>
      </c>
      <c r="F75" s="1937">
        <f t="shared" si="1"/>
        <v>0</v>
      </c>
      <c r="G75" s="1793">
        <f t="shared" si="5"/>
        <v>0</v>
      </c>
    </row>
    <row r="76" spans="1:7" x14ac:dyDescent="0.25">
      <c r="A76" s="1653"/>
      <c r="B76" s="1667"/>
      <c r="C76" s="1654"/>
      <c r="D76" s="1844"/>
      <c r="E76" s="1540">
        <f t="shared" si="4"/>
        <v>0</v>
      </c>
      <c r="F76" s="1937">
        <f t="shared" si="1"/>
        <v>0</v>
      </c>
      <c r="G76" s="1793">
        <f t="shared" si="5"/>
        <v>0</v>
      </c>
    </row>
    <row r="77" spans="1:7" x14ac:dyDescent="0.25">
      <c r="A77" s="1653"/>
      <c r="B77" s="1667"/>
      <c r="C77" s="1654"/>
      <c r="D77" s="1844"/>
      <c r="E77" s="1540">
        <f t="shared" si="4"/>
        <v>0</v>
      </c>
      <c r="F77" s="1937">
        <f t="shared" si="1"/>
        <v>0</v>
      </c>
      <c r="G77" s="1793">
        <f t="shared" si="5"/>
        <v>0</v>
      </c>
    </row>
    <row r="78" spans="1:7" x14ac:dyDescent="0.25">
      <c r="A78" s="1653"/>
      <c r="B78" s="1667"/>
      <c r="C78" s="1654"/>
      <c r="D78" s="1844"/>
      <c r="E78" s="1540">
        <f t="shared" si="4"/>
        <v>0</v>
      </c>
      <c r="F78" s="1937">
        <f t="shared" si="1"/>
        <v>0</v>
      </c>
      <c r="G78" s="1793">
        <f t="shared" si="5"/>
        <v>0</v>
      </c>
    </row>
    <row r="79" spans="1:7" x14ac:dyDescent="0.25">
      <c r="A79" s="1653"/>
      <c r="B79" s="1667"/>
      <c r="C79" s="1654"/>
      <c r="D79" s="1844"/>
      <c r="E79" s="1540">
        <f t="shared" si="4"/>
        <v>0</v>
      </c>
      <c r="F79" s="1937">
        <f t="shared" si="1"/>
        <v>0</v>
      </c>
      <c r="G79" s="1793">
        <f t="shared" si="5"/>
        <v>0</v>
      </c>
    </row>
    <row r="80" spans="1:7" x14ac:dyDescent="0.25">
      <c r="A80" s="1653"/>
      <c r="B80" s="1667"/>
      <c r="C80" s="1654"/>
      <c r="D80" s="1844"/>
      <c r="E80" s="1540">
        <f t="shared" si="4"/>
        <v>0</v>
      </c>
      <c r="F80" s="1937">
        <f t="shared" si="1"/>
        <v>0</v>
      </c>
      <c r="G80" s="1793">
        <f t="shared" si="5"/>
        <v>0</v>
      </c>
    </row>
    <row r="81" spans="1:7" x14ac:dyDescent="0.25">
      <c r="A81" s="1653"/>
      <c r="B81" s="1667"/>
      <c r="C81" s="1654"/>
      <c r="D81" s="1844"/>
      <c r="E81" s="1540">
        <f t="shared" si="4"/>
        <v>0</v>
      </c>
      <c r="F81" s="1937">
        <f t="shared" si="1"/>
        <v>0</v>
      </c>
      <c r="G81" s="1793">
        <f t="shared" si="5"/>
        <v>0</v>
      </c>
    </row>
    <row r="82" spans="1:7" x14ac:dyDescent="0.25">
      <c r="A82" s="1653"/>
      <c r="B82" s="1667"/>
      <c r="C82" s="1654"/>
      <c r="D82" s="1844"/>
      <c r="E82" s="1540">
        <f t="shared" si="4"/>
        <v>0</v>
      </c>
      <c r="F82" s="1937">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x14ac:dyDescent="0.25">
      <c r="A83" s="1653"/>
      <c r="B83" s="1667"/>
      <c r="C83" s="1654"/>
      <c r="D83" s="1844"/>
      <c r="E83" s="1540">
        <f t="shared" si="4"/>
        <v>0</v>
      </c>
      <c r="F83" s="1937">
        <f t="shared" si="6"/>
        <v>0</v>
      </c>
      <c r="G83" s="1793">
        <f t="shared" si="5"/>
        <v>0</v>
      </c>
    </row>
    <row r="84" spans="1:7" x14ac:dyDescent="0.25">
      <c r="A84" s="1653"/>
      <c r="B84" s="1667"/>
      <c r="C84" s="1654"/>
      <c r="D84" s="1844"/>
      <c r="E84" s="1540">
        <f t="shared" si="4"/>
        <v>0</v>
      </c>
      <c r="F84" s="1937">
        <f t="shared" si="6"/>
        <v>0</v>
      </c>
      <c r="G84" s="1793">
        <f t="shared" si="5"/>
        <v>0</v>
      </c>
    </row>
    <row r="85" spans="1:7" x14ac:dyDescent="0.25">
      <c r="A85" s="1653"/>
      <c r="B85" s="1667"/>
      <c r="C85" s="1654"/>
      <c r="D85" s="1844"/>
      <c r="E85" s="1540">
        <f t="shared" si="4"/>
        <v>0</v>
      </c>
      <c r="F85" s="1937">
        <f t="shared" si="6"/>
        <v>0</v>
      </c>
      <c r="G85" s="1793">
        <f t="shared" si="5"/>
        <v>0</v>
      </c>
    </row>
    <row r="86" spans="1:7" x14ac:dyDescent="0.25">
      <c r="A86" s="1653"/>
      <c r="B86" s="1667"/>
      <c r="C86" s="1654"/>
      <c r="D86" s="1844"/>
      <c r="E86" s="1540">
        <f t="shared" si="2"/>
        <v>0</v>
      </c>
      <c r="F86" s="1937">
        <f t="shared" si="6"/>
        <v>0</v>
      </c>
      <c r="G86" s="1793">
        <f t="shared" si="3"/>
        <v>0</v>
      </c>
    </row>
    <row r="87" spans="1:7" x14ac:dyDescent="0.25">
      <c r="A87" s="1653"/>
      <c r="B87" s="1667"/>
      <c r="C87" s="1654"/>
      <c r="D87" s="1844"/>
      <c r="E87" s="1540">
        <f t="shared" si="2"/>
        <v>0</v>
      </c>
      <c r="F87" s="1937">
        <f t="shared" si="6"/>
        <v>0</v>
      </c>
      <c r="G87" s="1793">
        <f t="shared" si="3"/>
        <v>0</v>
      </c>
    </row>
    <row r="88" spans="1:7" x14ac:dyDescent="0.25">
      <c r="A88" s="1653"/>
      <c r="B88" s="1667"/>
      <c r="C88" s="1654"/>
      <c r="D88" s="1844"/>
      <c r="E88" s="1540">
        <f t="shared" si="2"/>
        <v>0</v>
      </c>
      <c r="F88" s="1937">
        <f t="shared" si="6"/>
        <v>0</v>
      </c>
      <c r="G88" s="1793">
        <f t="shared" si="3"/>
        <v>0</v>
      </c>
    </row>
    <row r="89" spans="1:7" x14ac:dyDescent="0.25">
      <c r="A89" s="1653"/>
      <c r="B89" s="1667"/>
      <c r="C89" s="1654"/>
      <c r="D89" s="1844"/>
      <c r="E89" s="1540">
        <f t="shared" si="2"/>
        <v>0</v>
      </c>
      <c r="F89" s="1937">
        <f t="shared" si="6"/>
        <v>0</v>
      </c>
      <c r="G89" s="1793">
        <f t="shared" si="3"/>
        <v>0</v>
      </c>
    </row>
    <row r="90" spans="1:7" x14ac:dyDescent="0.25">
      <c r="A90" s="1653"/>
      <c r="B90" s="1667"/>
      <c r="C90" s="1654"/>
      <c r="D90" s="1844"/>
      <c r="E90" s="1540">
        <f t="shared" si="2"/>
        <v>0</v>
      </c>
      <c r="F90" s="1937">
        <f t="shared" si="6"/>
        <v>0</v>
      </c>
      <c r="G90" s="1793">
        <f t="shared" si="3"/>
        <v>0</v>
      </c>
    </row>
    <row r="91" spans="1:7" x14ac:dyDescent="0.25">
      <c r="A91" s="1653"/>
      <c r="B91" s="1667"/>
      <c r="C91" s="1654"/>
      <c r="D91" s="1844"/>
      <c r="E91" s="1540">
        <f t="shared" si="2"/>
        <v>0</v>
      </c>
      <c r="F91" s="1937">
        <f t="shared" si="6"/>
        <v>0</v>
      </c>
      <c r="G91" s="1793">
        <f t="shared" si="3"/>
        <v>0</v>
      </c>
    </row>
    <row r="92" spans="1:7" x14ac:dyDescent="0.25">
      <c r="A92" s="1653"/>
      <c r="B92" s="1667"/>
      <c r="C92" s="1654"/>
      <c r="D92" s="1844"/>
      <c r="E92" s="1540">
        <f t="shared" si="2"/>
        <v>0</v>
      </c>
      <c r="F92" s="1937">
        <f t="shared" si="6"/>
        <v>0</v>
      </c>
      <c r="G92" s="1793">
        <f t="shared" si="3"/>
        <v>0</v>
      </c>
    </row>
    <row r="93" spans="1:7" x14ac:dyDescent="0.25">
      <c r="A93" s="1653"/>
      <c r="B93" s="1667"/>
      <c r="C93" s="1654"/>
      <c r="D93" s="1844"/>
      <c r="E93" s="1540">
        <f t="shared" si="2"/>
        <v>0</v>
      </c>
      <c r="F93" s="1937">
        <f t="shared" si="6"/>
        <v>0</v>
      </c>
      <c r="G93" s="1793">
        <f t="shared" si="3"/>
        <v>0</v>
      </c>
    </row>
    <row r="94" spans="1:7" x14ac:dyDescent="0.25">
      <c r="A94" s="1653"/>
      <c r="B94" s="1667"/>
      <c r="C94" s="1654"/>
      <c r="D94" s="1844"/>
      <c r="E94" s="1540">
        <f t="shared" ref="E94" si="7">IF(D94&lt;=25000,D94,IF(D94&gt;25000,25000,0))</f>
        <v>0</v>
      </c>
      <c r="F94" s="1937">
        <f t="shared" si="6"/>
        <v>0</v>
      </c>
      <c r="G94" s="1793">
        <f t="shared" ref="G94" si="8">IF(F94=0,0,D94-F94)</f>
        <v>0</v>
      </c>
    </row>
    <row r="95" spans="1:7" x14ac:dyDescent="0.25">
      <c r="A95" s="1653"/>
      <c r="B95" s="1667"/>
      <c r="C95" s="1654"/>
      <c r="D95" s="1844"/>
      <c r="E95" s="1540">
        <f t="shared" si="2"/>
        <v>0</v>
      </c>
      <c r="F95" s="1937">
        <f t="shared" si="6"/>
        <v>0</v>
      </c>
      <c r="G95" s="1793">
        <f t="shared" si="3"/>
        <v>0</v>
      </c>
    </row>
    <row r="96" spans="1:7" x14ac:dyDescent="0.25">
      <c r="A96" s="1653"/>
      <c r="B96" s="1667"/>
      <c r="C96" s="1654"/>
      <c r="D96" s="1844"/>
      <c r="E96" s="1540">
        <f t="shared" ref="E96:E99" si="9">IF(D96&lt;=25000,D96,IF(D96&gt;25000,25000,0))</f>
        <v>0</v>
      </c>
      <c r="F96" s="1937">
        <f t="shared" si="6"/>
        <v>0</v>
      </c>
      <c r="G96" s="1793">
        <f t="shared" ref="G96:G99" si="10">IF(F96=0,0,D96-F96)</f>
        <v>0</v>
      </c>
    </row>
    <row r="97" spans="1:7" x14ac:dyDescent="0.25">
      <c r="A97" s="1653"/>
      <c r="B97" s="1667"/>
      <c r="C97" s="1654"/>
      <c r="D97" s="1844"/>
      <c r="E97" s="1540">
        <f t="shared" si="9"/>
        <v>0</v>
      </c>
      <c r="F97" s="1937">
        <f t="shared" si="6"/>
        <v>0</v>
      </c>
      <c r="G97" s="1793">
        <f t="shared" si="10"/>
        <v>0</v>
      </c>
    </row>
    <row r="98" spans="1:7" x14ac:dyDescent="0.25">
      <c r="A98" s="1653"/>
      <c r="B98" s="1667"/>
      <c r="C98" s="1654"/>
      <c r="D98" s="1844"/>
      <c r="E98" s="1540">
        <f t="shared" si="9"/>
        <v>0</v>
      </c>
      <c r="F98" s="1937">
        <f t="shared" si="6"/>
        <v>0</v>
      </c>
      <c r="G98" s="1793">
        <f t="shared" si="10"/>
        <v>0</v>
      </c>
    </row>
    <row r="99" spans="1:7" x14ac:dyDescent="0.25">
      <c r="A99" s="1653"/>
      <c r="B99" s="1667"/>
      <c r="C99" s="1654"/>
      <c r="D99" s="1844"/>
      <c r="E99" s="1540">
        <f t="shared" si="9"/>
        <v>0</v>
      </c>
      <c r="F99" s="1937">
        <f t="shared" si="6"/>
        <v>0</v>
      </c>
      <c r="G99" s="1793">
        <f t="shared" si="10"/>
        <v>0</v>
      </c>
    </row>
    <row r="100" spans="1:7" x14ac:dyDescent="0.25">
      <c r="A100" s="1653"/>
      <c r="B100" s="1667"/>
      <c r="C100" s="1654"/>
      <c r="D100" s="1844"/>
      <c r="E100" s="1540">
        <f t="shared" ref="E100" si="11">IF(D100&lt;=25000,D100,IF(D100&gt;25000,25000,0))</f>
        <v>0</v>
      </c>
      <c r="F100" s="1937">
        <f t="shared" si="6"/>
        <v>0</v>
      </c>
      <c r="G100" s="1793">
        <f t="shared" ref="G100" si="12">IF(F100=0,0,D100-F100)</f>
        <v>0</v>
      </c>
    </row>
    <row r="101" spans="1:7" x14ac:dyDescent="0.25">
      <c r="A101" s="1653"/>
      <c r="B101" s="1667"/>
      <c r="C101" s="1654"/>
      <c r="D101" s="1844"/>
      <c r="E101" s="1540">
        <f t="shared" ref="E101:E113" si="13">IF(D101&lt;=25000,D101,IF(D101&gt;25000,25000,0))</f>
        <v>0</v>
      </c>
      <c r="F101" s="1937">
        <f t="shared" si="6"/>
        <v>0</v>
      </c>
      <c r="G101" s="1793">
        <f t="shared" ref="G101:G113" si="14">IF(F101=0,0,D101-F101)</f>
        <v>0</v>
      </c>
    </row>
    <row r="102" spans="1:7" x14ac:dyDescent="0.25">
      <c r="A102" s="1653"/>
      <c r="B102" s="1667"/>
      <c r="C102" s="1654"/>
      <c r="D102" s="1844"/>
      <c r="E102" s="1540">
        <f t="shared" si="13"/>
        <v>0</v>
      </c>
      <c r="F102" s="1937">
        <f t="shared" si="6"/>
        <v>0</v>
      </c>
      <c r="G102" s="1793">
        <f t="shared" si="14"/>
        <v>0</v>
      </c>
    </row>
    <row r="103" spans="1:7" x14ac:dyDescent="0.25">
      <c r="A103" s="1653"/>
      <c r="B103" s="1667"/>
      <c r="C103" s="1654"/>
      <c r="D103" s="1844"/>
      <c r="E103" s="1540">
        <f t="shared" si="13"/>
        <v>0</v>
      </c>
      <c r="F103" s="1937">
        <f t="shared" si="6"/>
        <v>0</v>
      </c>
      <c r="G103" s="1793">
        <f t="shared" si="14"/>
        <v>0</v>
      </c>
    </row>
    <row r="104" spans="1:7" x14ac:dyDescent="0.25">
      <c r="A104" s="1653"/>
      <c r="B104" s="1667"/>
      <c r="C104" s="1654"/>
      <c r="D104" s="1844"/>
      <c r="E104" s="1540">
        <f t="shared" si="13"/>
        <v>0</v>
      </c>
      <c r="F104" s="1937">
        <f t="shared" si="6"/>
        <v>0</v>
      </c>
      <c r="G104" s="1793">
        <f t="shared" si="14"/>
        <v>0</v>
      </c>
    </row>
    <row r="105" spans="1:7" x14ac:dyDescent="0.25">
      <c r="A105" s="1653"/>
      <c r="B105" s="1667"/>
      <c r="C105" s="1654"/>
      <c r="D105" s="1844"/>
      <c r="E105" s="1540">
        <f t="shared" si="13"/>
        <v>0</v>
      </c>
      <c r="F105" s="1937">
        <f t="shared" si="6"/>
        <v>0</v>
      </c>
      <c r="G105" s="1793">
        <f t="shared" si="14"/>
        <v>0</v>
      </c>
    </row>
    <row r="106" spans="1:7" x14ac:dyDescent="0.25">
      <c r="A106" s="1653"/>
      <c r="B106" s="1667"/>
      <c r="C106" s="1654"/>
      <c r="D106" s="1844"/>
      <c r="E106" s="1540">
        <f t="shared" si="13"/>
        <v>0</v>
      </c>
      <c r="F106" s="1937">
        <f t="shared" si="6"/>
        <v>0</v>
      </c>
      <c r="G106" s="1793">
        <f t="shared" si="14"/>
        <v>0</v>
      </c>
    </row>
    <row r="107" spans="1:7" x14ac:dyDescent="0.25">
      <c r="A107" s="1653"/>
      <c r="B107" s="1667"/>
      <c r="C107" s="1654"/>
      <c r="D107" s="1844"/>
      <c r="E107" s="1540">
        <f t="shared" si="13"/>
        <v>0</v>
      </c>
      <c r="F107" s="1937">
        <f t="shared" si="6"/>
        <v>0</v>
      </c>
      <c r="G107" s="1793">
        <f t="shared" si="14"/>
        <v>0</v>
      </c>
    </row>
    <row r="108" spans="1:7" x14ac:dyDescent="0.25">
      <c r="A108" s="1653"/>
      <c r="B108" s="1667"/>
      <c r="C108" s="1654"/>
      <c r="D108" s="1844"/>
      <c r="E108" s="1540">
        <f t="shared" si="13"/>
        <v>0</v>
      </c>
      <c r="F108" s="1937">
        <f t="shared" si="6"/>
        <v>0</v>
      </c>
      <c r="G108" s="1793">
        <f t="shared" si="14"/>
        <v>0</v>
      </c>
    </row>
    <row r="109" spans="1:7" x14ac:dyDescent="0.25">
      <c r="A109" s="1653"/>
      <c r="B109" s="1667"/>
      <c r="C109" s="1654"/>
      <c r="D109" s="1844"/>
      <c r="E109" s="1540">
        <f t="shared" si="13"/>
        <v>0</v>
      </c>
      <c r="F109" s="1937">
        <f t="shared" si="6"/>
        <v>0</v>
      </c>
      <c r="G109" s="1793">
        <f t="shared" si="14"/>
        <v>0</v>
      </c>
    </row>
    <row r="110" spans="1:7" x14ac:dyDescent="0.25">
      <c r="A110" s="1653"/>
      <c r="B110" s="1667"/>
      <c r="C110" s="1654"/>
      <c r="D110" s="1844"/>
      <c r="E110" s="1540">
        <f t="shared" si="13"/>
        <v>0</v>
      </c>
      <c r="F110" s="1937">
        <f t="shared" si="6"/>
        <v>0</v>
      </c>
      <c r="G110" s="1793">
        <f t="shared" si="14"/>
        <v>0</v>
      </c>
    </row>
    <row r="111" spans="1:7" x14ac:dyDescent="0.25">
      <c r="A111" s="1653"/>
      <c r="B111" s="1667"/>
      <c r="C111" s="1654"/>
      <c r="D111" s="1844"/>
      <c r="E111" s="1540">
        <f t="shared" si="13"/>
        <v>0</v>
      </c>
      <c r="F111" s="1937">
        <f t="shared" si="6"/>
        <v>0</v>
      </c>
      <c r="G111" s="1793">
        <f t="shared" si="14"/>
        <v>0</v>
      </c>
    </row>
    <row r="112" spans="1:7" x14ac:dyDescent="0.25">
      <c r="A112" s="1653"/>
      <c r="B112" s="1667"/>
      <c r="C112" s="1654"/>
      <c r="D112" s="1844"/>
      <c r="E112" s="1540">
        <f t="shared" si="13"/>
        <v>0</v>
      </c>
      <c r="F112" s="1937">
        <f t="shared" si="6"/>
        <v>0</v>
      </c>
      <c r="G112" s="1793">
        <f t="shared" si="14"/>
        <v>0</v>
      </c>
    </row>
    <row r="113" spans="1:7" x14ac:dyDescent="0.25">
      <c r="A113" s="1653"/>
      <c r="B113" s="1667"/>
      <c r="C113" s="1654"/>
      <c r="D113" s="1844"/>
      <c r="E113" s="1540">
        <f t="shared" si="13"/>
        <v>0</v>
      </c>
      <c r="F113" s="1937">
        <f t="shared" si="6"/>
        <v>0</v>
      </c>
      <c r="G113" s="1793">
        <f t="shared" si="14"/>
        <v>0</v>
      </c>
    </row>
    <row r="114" spans="1:7" x14ac:dyDescent="0.25">
      <c r="A114" s="1653"/>
      <c r="B114" s="1667"/>
      <c r="C114" s="1654"/>
      <c r="D114" s="1844"/>
      <c r="E114" s="1540">
        <f t="shared" ref="E114:E126" si="15">IF(D114&lt;=25000,D114,IF(D114&gt;25000,25000,0))</f>
        <v>0</v>
      </c>
      <c r="F114" s="1937">
        <f t="shared" si="6"/>
        <v>0</v>
      </c>
      <c r="G114" s="1793">
        <f t="shared" ref="G114:G126" si="16">IF(F114=0,0,D114-F114)</f>
        <v>0</v>
      </c>
    </row>
    <row r="115" spans="1:7" x14ac:dyDescent="0.25">
      <c r="A115" s="1653"/>
      <c r="B115" s="1667"/>
      <c r="C115" s="1654"/>
      <c r="D115" s="1844"/>
      <c r="E115" s="1540">
        <f t="shared" si="15"/>
        <v>0</v>
      </c>
      <c r="F115" s="1937">
        <f t="shared" si="6"/>
        <v>0</v>
      </c>
      <c r="G115" s="1793">
        <f t="shared" si="16"/>
        <v>0</v>
      </c>
    </row>
    <row r="116" spans="1:7" x14ac:dyDescent="0.25">
      <c r="A116" s="1653"/>
      <c r="B116" s="1667"/>
      <c r="C116" s="1654"/>
      <c r="D116" s="1844"/>
      <c r="E116" s="1540">
        <f t="shared" si="15"/>
        <v>0</v>
      </c>
      <c r="F116" s="1937">
        <f t="shared" si="6"/>
        <v>0</v>
      </c>
      <c r="G116" s="1793">
        <f t="shared" si="16"/>
        <v>0</v>
      </c>
    </row>
    <row r="117" spans="1:7" x14ac:dyDescent="0.25">
      <c r="A117" s="1653"/>
      <c r="B117" s="1667"/>
      <c r="C117" s="1654"/>
      <c r="D117" s="1844"/>
      <c r="E117" s="1540">
        <f t="shared" si="15"/>
        <v>0</v>
      </c>
      <c r="F117" s="1937">
        <f t="shared" si="6"/>
        <v>0</v>
      </c>
      <c r="G117" s="1793">
        <f t="shared" si="16"/>
        <v>0</v>
      </c>
    </row>
    <row r="118" spans="1:7" x14ac:dyDescent="0.25">
      <c r="A118" s="1653"/>
      <c r="B118" s="1667"/>
      <c r="C118" s="1654"/>
      <c r="D118" s="1844"/>
      <c r="E118" s="1540">
        <f t="shared" si="15"/>
        <v>0</v>
      </c>
      <c r="F118" s="1937">
        <f t="shared" si="6"/>
        <v>0</v>
      </c>
      <c r="G118" s="1793">
        <f t="shared" si="16"/>
        <v>0</v>
      </c>
    </row>
    <row r="119" spans="1:7" x14ac:dyDescent="0.25">
      <c r="A119" s="1653"/>
      <c r="B119" s="1667"/>
      <c r="C119" s="1654"/>
      <c r="D119" s="1844"/>
      <c r="E119" s="1540">
        <f t="shared" si="15"/>
        <v>0</v>
      </c>
      <c r="F119" s="1937">
        <f t="shared" si="6"/>
        <v>0</v>
      </c>
      <c r="G119" s="1793">
        <f t="shared" si="16"/>
        <v>0</v>
      </c>
    </row>
    <row r="120" spans="1:7" x14ac:dyDescent="0.25">
      <c r="A120" s="1653"/>
      <c r="B120" s="1667"/>
      <c r="C120" s="1654"/>
      <c r="D120" s="1844"/>
      <c r="E120" s="1540">
        <f t="shared" si="15"/>
        <v>0</v>
      </c>
      <c r="F120" s="1937">
        <f t="shared" si="6"/>
        <v>0</v>
      </c>
      <c r="G120" s="1793">
        <f t="shared" si="16"/>
        <v>0</v>
      </c>
    </row>
    <row r="121" spans="1:7" x14ac:dyDescent="0.25">
      <c r="A121" s="1653"/>
      <c r="B121" s="1667"/>
      <c r="C121" s="1654"/>
      <c r="D121" s="1844"/>
      <c r="E121" s="1540">
        <f t="shared" si="15"/>
        <v>0</v>
      </c>
      <c r="F121" s="1937">
        <f t="shared" si="6"/>
        <v>0</v>
      </c>
      <c r="G121" s="1793">
        <f t="shared" si="16"/>
        <v>0</v>
      </c>
    </row>
    <row r="122" spans="1:7" x14ac:dyDescent="0.25">
      <c r="A122" s="1653"/>
      <c r="B122" s="1667"/>
      <c r="C122" s="1654"/>
      <c r="D122" s="1844"/>
      <c r="E122" s="1540">
        <f t="shared" si="15"/>
        <v>0</v>
      </c>
      <c r="F122" s="1937">
        <f t="shared" si="6"/>
        <v>0</v>
      </c>
      <c r="G122" s="1793">
        <f t="shared" si="16"/>
        <v>0</v>
      </c>
    </row>
    <row r="123" spans="1:7" x14ac:dyDescent="0.25">
      <c r="A123" s="1653"/>
      <c r="B123" s="1667"/>
      <c r="C123" s="1654"/>
      <c r="D123" s="1844"/>
      <c r="E123" s="1540">
        <f t="shared" si="15"/>
        <v>0</v>
      </c>
      <c r="F123" s="1937">
        <f t="shared" si="6"/>
        <v>0</v>
      </c>
      <c r="G123" s="1793">
        <f t="shared" si="16"/>
        <v>0</v>
      </c>
    </row>
    <row r="124" spans="1:7" x14ac:dyDescent="0.25">
      <c r="A124" s="1653"/>
      <c r="B124" s="1667"/>
      <c r="C124" s="1654"/>
      <c r="D124" s="1844"/>
      <c r="E124" s="1540">
        <f t="shared" si="15"/>
        <v>0</v>
      </c>
      <c r="F124" s="1937">
        <f t="shared" si="6"/>
        <v>0</v>
      </c>
      <c r="G124" s="1793">
        <f t="shared" si="16"/>
        <v>0</v>
      </c>
    </row>
    <row r="125" spans="1:7" x14ac:dyDescent="0.25">
      <c r="A125" s="1653"/>
      <c r="B125" s="1667"/>
      <c r="C125" s="1654"/>
      <c r="D125" s="1844"/>
      <c r="E125" s="1540">
        <f t="shared" si="15"/>
        <v>0</v>
      </c>
      <c r="F125" s="1937">
        <f t="shared" si="6"/>
        <v>0</v>
      </c>
      <c r="G125" s="1793">
        <f t="shared" si="16"/>
        <v>0</v>
      </c>
    </row>
    <row r="126" spans="1:7" x14ac:dyDescent="0.25">
      <c r="A126" s="1653"/>
      <c r="B126" s="1667"/>
      <c r="C126" s="1654"/>
      <c r="D126" s="1844"/>
      <c r="E126" s="1540">
        <f t="shared" si="15"/>
        <v>0</v>
      </c>
      <c r="F126" s="1937">
        <f t="shared" si="6"/>
        <v>0</v>
      </c>
      <c r="G126" s="1793">
        <f t="shared" si="16"/>
        <v>0</v>
      </c>
    </row>
    <row r="127" spans="1:7" x14ac:dyDescent="0.25">
      <c r="A127" s="1653"/>
      <c r="B127" s="1667"/>
      <c r="C127" s="1654"/>
      <c r="D127" s="1844"/>
      <c r="E127" s="1540">
        <f t="shared" ref="E127:E135" si="17">IF(D127&lt;=25000,D127,IF(D127&gt;25000,25000,0))</f>
        <v>0</v>
      </c>
      <c r="F127" s="1937">
        <f t="shared" si="6"/>
        <v>0</v>
      </c>
      <c r="G127" s="1793">
        <f t="shared" ref="G127:G135" si="18">IF(F127=0,0,D127-F127)</f>
        <v>0</v>
      </c>
    </row>
    <row r="128" spans="1:7" x14ac:dyDescent="0.25">
      <c r="A128" s="1653"/>
      <c r="B128" s="1667"/>
      <c r="C128" s="1654"/>
      <c r="D128" s="1844"/>
      <c r="E128" s="1540">
        <f t="shared" si="17"/>
        <v>0</v>
      </c>
      <c r="F128" s="1937">
        <f t="shared" si="6"/>
        <v>0</v>
      </c>
      <c r="G128" s="1793">
        <f t="shared" si="18"/>
        <v>0</v>
      </c>
    </row>
    <row r="129" spans="1:7" x14ac:dyDescent="0.25">
      <c r="A129" s="1653"/>
      <c r="B129" s="1667"/>
      <c r="C129" s="1654"/>
      <c r="D129" s="1844"/>
      <c r="E129" s="1540">
        <f t="shared" si="17"/>
        <v>0</v>
      </c>
      <c r="F129" s="1937">
        <f t="shared" si="6"/>
        <v>0</v>
      </c>
      <c r="G129" s="1793">
        <f t="shared" si="18"/>
        <v>0</v>
      </c>
    </row>
    <row r="130" spans="1:7" x14ac:dyDescent="0.25">
      <c r="A130" s="1653"/>
      <c r="B130" s="1667"/>
      <c r="C130" s="1654"/>
      <c r="D130" s="1844"/>
      <c r="E130" s="1540">
        <f t="shared" si="17"/>
        <v>0</v>
      </c>
      <c r="F130" s="1937">
        <f t="shared" si="6"/>
        <v>0</v>
      </c>
      <c r="G130" s="1793">
        <f t="shared" si="18"/>
        <v>0</v>
      </c>
    </row>
    <row r="131" spans="1:7" x14ac:dyDescent="0.25">
      <c r="A131" s="1653"/>
      <c r="B131" s="1667"/>
      <c r="C131" s="1654"/>
      <c r="D131" s="1844"/>
      <c r="E131" s="1540">
        <f t="shared" si="17"/>
        <v>0</v>
      </c>
      <c r="F131" s="1937">
        <f t="shared" si="6"/>
        <v>0</v>
      </c>
      <c r="G131" s="1793">
        <f t="shared" si="18"/>
        <v>0</v>
      </c>
    </row>
    <row r="132" spans="1:7" x14ac:dyDescent="0.25">
      <c r="A132" s="1653"/>
      <c r="B132" s="1837"/>
      <c r="C132" s="1654"/>
      <c r="D132" s="1844"/>
      <c r="E132" s="1540">
        <f t="shared" si="17"/>
        <v>0</v>
      </c>
      <c r="F132" s="1937">
        <f t="shared" si="6"/>
        <v>0</v>
      </c>
      <c r="G132" s="1793">
        <f t="shared" si="18"/>
        <v>0</v>
      </c>
    </row>
    <row r="133" spans="1:7" x14ac:dyDescent="0.25">
      <c r="A133" s="1653"/>
      <c r="B133" s="1837"/>
      <c r="C133" s="1654"/>
      <c r="D133" s="1844"/>
      <c r="E133" s="1540">
        <f t="shared" si="17"/>
        <v>0</v>
      </c>
      <c r="F133" s="1937">
        <f t="shared" si="6"/>
        <v>0</v>
      </c>
      <c r="G133" s="1793">
        <f t="shared" si="18"/>
        <v>0</v>
      </c>
    </row>
    <row r="134" spans="1:7" x14ac:dyDescent="0.25">
      <c r="A134" s="1653"/>
      <c r="B134" s="1667"/>
      <c r="C134" s="1654"/>
      <c r="D134" s="1844"/>
      <c r="E134" s="1540">
        <f t="shared" si="17"/>
        <v>0</v>
      </c>
      <c r="F134" s="1937">
        <f t="shared" si="6"/>
        <v>0</v>
      </c>
      <c r="G134" s="1793">
        <f t="shared" si="18"/>
        <v>0</v>
      </c>
    </row>
    <row r="135" spans="1:7" x14ac:dyDescent="0.25">
      <c r="A135" s="1653"/>
      <c r="B135" s="1667"/>
      <c r="C135" s="1654"/>
      <c r="D135" s="1844"/>
      <c r="E135" s="1540">
        <f t="shared" si="17"/>
        <v>0</v>
      </c>
      <c r="F135" s="1937">
        <f t="shared" si="6"/>
        <v>0</v>
      </c>
      <c r="G135" s="1793">
        <f t="shared" si="18"/>
        <v>0</v>
      </c>
    </row>
    <row r="136" spans="1:7" x14ac:dyDescent="0.25">
      <c r="A136" s="1653"/>
      <c r="B136" s="1667"/>
      <c r="C136" s="1654"/>
      <c r="D136" s="1844"/>
      <c r="E136" s="1540">
        <f t="shared" ref="E136:E140" si="19">IF(D136&lt;=25000,D136,IF(D136&gt;25000,25000,0))</f>
        <v>0</v>
      </c>
      <c r="F136" s="1937">
        <f t="shared" si="6"/>
        <v>0</v>
      </c>
      <c r="G136" s="1793">
        <f t="shared" ref="G136:G140" si="20">IF(F136=0,0,D136-F136)</f>
        <v>0</v>
      </c>
    </row>
    <row r="137" spans="1:7" x14ac:dyDescent="0.25">
      <c r="A137" s="1653"/>
      <c r="B137" s="1667"/>
      <c r="C137" s="1654"/>
      <c r="D137" s="1844"/>
      <c r="E137" s="1540">
        <f t="shared" si="19"/>
        <v>0</v>
      </c>
      <c r="F137" s="1937">
        <f t="shared" si="6"/>
        <v>0</v>
      </c>
      <c r="G137" s="1793">
        <f t="shared" si="20"/>
        <v>0</v>
      </c>
    </row>
    <row r="138" spans="1:7" x14ac:dyDescent="0.25">
      <c r="A138" s="1653"/>
      <c r="B138" s="1667"/>
      <c r="C138" s="1654"/>
      <c r="D138" s="1844"/>
      <c r="E138" s="1540">
        <f t="shared" si="19"/>
        <v>0</v>
      </c>
      <c r="F138" s="1937">
        <f t="shared" si="6"/>
        <v>0</v>
      </c>
      <c r="G138" s="1793">
        <f t="shared" si="20"/>
        <v>0</v>
      </c>
    </row>
    <row r="139" spans="1:7" x14ac:dyDescent="0.25">
      <c r="A139" s="1653"/>
      <c r="B139" s="1667"/>
      <c r="C139" s="1654"/>
      <c r="D139" s="1844"/>
      <c r="E139" s="1540">
        <f t="shared" si="19"/>
        <v>0</v>
      </c>
      <c r="F139" s="1937">
        <f t="shared" si="6"/>
        <v>0</v>
      </c>
      <c r="G139" s="1793">
        <f t="shared" si="20"/>
        <v>0</v>
      </c>
    </row>
    <row r="140" spans="1:7" x14ac:dyDescent="0.25">
      <c r="A140" s="1653"/>
      <c r="B140" s="1667"/>
      <c r="C140" s="1654"/>
      <c r="D140" s="1844"/>
      <c r="E140" s="1540">
        <f t="shared" si="19"/>
        <v>0</v>
      </c>
      <c r="F140" s="1937">
        <f t="shared" si="6"/>
        <v>0</v>
      </c>
      <c r="G140" s="1793">
        <f t="shared" si="20"/>
        <v>0</v>
      </c>
    </row>
    <row r="141" spans="1:7" x14ac:dyDescent="0.25">
      <c r="A141" s="1653"/>
      <c r="B141" s="1666"/>
      <c r="C141" s="1654"/>
      <c r="D141" s="1844"/>
      <c r="E141" s="1540">
        <f t="shared" si="2"/>
        <v>0</v>
      </c>
      <c r="F141" s="1937">
        <f t="shared" si="6"/>
        <v>0</v>
      </c>
      <c r="G141" s="1793">
        <f t="shared" si="3"/>
        <v>0</v>
      </c>
    </row>
    <row r="142" spans="1:7" x14ac:dyDescent="0.25">
      <c r="A142" s="1796" t="s">
        <v>156</v>
      </c>
      <c r="B142" s="1797"/>
      <c r="C142" s="1798"/>
      <c r="D142" s="1794">
        <f>SUM(D18:D141)</f>
        <v>0</v>
      </c>
      <c r="E142" s="1541">
        <f t="shared" si="0"/>
        <v>0</v>
      </c>
      <c r="F142" s="1932">
        <f>SUM(F18:F141)</f>
        <v>0</v>
      </c>
      <c r="G142" s="1795">
        <f>SUM(G18:G141)</f>
        <v>0</v>
      </c>
    </row>
  </sheetData>
  <sheetProtection selectLockedCells="1"/>
  <mergeCells count="6">
    <mergeCell ref="A14:G14"/>
    <mergeCell ref="A4:G5"/>
    <mergeCell ref="A12:G12"/>
    <mergeCell ref="A8:G8"/>
    <mergeCell ref="A9:G9"/>
    <mergeCell ref="A10:G10"/>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6" t="s">
        <v>1679</v>
      </c>
      <c r="B5" s="2287"/>
      <c r="C5" s="2287"/>
      <c r="D5" s="2287"/>
      <c r="E5" s="2287"/>
      <c r="F5" s="2287"/>
      <c r="G5" s="2288"/>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1932</v>
      </c>
      <c r="B10" s="971"/>
      <c r="C10" s="976"/>
      <c r="D10" s="972"/>
      <c r="E10" s="973">
        <v>84949</v>
      </c>
      <c r="F10" s="974"/>
      <c r="G10" s="975"/>
      <c r="H10" s="162"/>
      <c r="I10" s="162"/>
    </row>
    <row r="11" spans="1:9" s="668" customFormat="1" ht="22.5" customHeight="1" x14ac:dyDescent="0.2">
      <c r="A11" s="2291" t="s">
        <v>1975</v>
      </c>
      <c r="B11" s="2292"/>
      <c r="C11" s="2292"/>
      <c r="D11" s="2293"/>
      <c r="E11" s="977"/>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1846112</v>
      </c>
      <c r="F19" s="1799"/>
      <c r="G19" s="1801">
        <f>'Expenditures 15-22'!K33-SUM('Expenditures 15-22'!G33,'Expenditures 15-22'!I33)+'Expenditures 15-22'!D229</f>
        <v>1846112</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109567</v>
      </c>
      <c r="F21" s="1802"/>
      <c r="G21" s="1805">
        <f>'Expenditures 15-22'!K42-SUM('Expenditures 15-22'!G42,'Expenditures 15-22'!I42)+'Expenditures 15-22'!K120-SUM('Expenditures 15-22'!G120,'Expenditures 15-22'!I120)+'Expenditures 15-22'!K180-SUM('Expenditures 15-22'!G180,'Expenditures 15-22'!I180)+'Expenditures 15-22'!D238</f>
        <v>109567</v>
      </c>
      <c r="H21" s="987"/>
      <c r="I21" s="162"/>
    </row>
    <row r="22" spans="1:9" s="668" customFormat="1" ht="12" customHeight="1" x14ac:dyDescent="0.2">
      <c r="A22" s="994" t="s">
        <v>564</v>
      </c>
      <c r="B22" s="995"/>
      <c r="C22" s="993">
        <v>2200</v>
      </c>
      <c r="D22" s="1802"/>
      <c r="E22" s="1804">
        <f>'Expenditures 15-22'!K47-SUM('Expenditures 15-22'!G47,'Expenditures 15-22'!I47)+'Expenditures 15-22'!D243</f>
        <v>68910</v>
      </c>
      <c r="F22" s="1802"/>
      <c r="G22" s="1805">
        <f>'Expenditures 15-22'!K47-SUM('Expenditures 15-22'!G47,'Expenditures 15-22'!I47)+'Expenditures 15-22'!D243</f>
        <v>68910</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390943</v>
      </c>
      <c r="F23" s="1802"/>
      <c r="G23" s="1804">
        <f>'Expenditures 15-22'!K53-SUM('Expenditures 15-22'!G53,'Expenditures 15-22'!I53)+'Expenditures 15-22'!D257+'Expenditures 15-22'!K330-SUM('Expenditures 15-22'!G330,'Expenditures 15-22'!I330)</f>
        <v>390943</v>
      </c>
      <c r="H23" s="987"/>
      <c r="I23" s="162"/>
    </row>
    <row r="24" spans="1:9" s="668" customFormat="1" ht="12" customHeight="1" x14ac:dyDescent="0.2">
      <c r="A24" s="994" t="s">
        <v>566</v>
      </c>
      <c r="B24" s="995"/>
      <c r="C24" s="993">
        <v>2400</v>
      </c>
      <c r="D24" s="1802"/>
      <c r="E24" s="1804">
        <f>'Expenditures 15-22'!K57-SUM('Expenditures 15-22'!G57,'Expenditures 15-22'!I57)+'Expenditures 15-22'!D261</f>
        <v>292998</v>
      </c>
      <c r="F24" s="1802"/>
      <c r="G24" s="1805">
        <f>'Expenditures 15-22'!K57-SUM('Expenditures 15-22'!G57,'Expenditures 15-22'!I57)+'Expenditures 15-22'!D261</f>
        <v>292998</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93246</v>
      </c>
      <c r="E27" s="1804">
        <f>E8</f>
        <v>0</v>
      </c>
      <c r="F27" s="1804">
        <f>'Expenditures 15-22'!K60-SUM('Expenditures 15-22'!G60,'Expenditures 15-22'!I60)+'Expenditures 15-22'!D264-E8</f>
        <v>93246</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295454</v>
      </c>
      <c r="F28" s="1806">
        <f>'Expenditures 15-22'!K61-SUM('Expenditures 15-22'!G61,'Expenditures 15-22'!I61)+'Expenditures 15-22'!K124-SUM('Expenditures 15-22'!G124,'Expenditures 15-22'!I124)+'Expenditures 15-22'!D266-E9</f>
        <v>295454</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296270</v>
      </c>
      <c r="F29" s="1802"/>
      <c r="G29" s="1805">
        <f>'Expenditures 15-22'!K62-SUM('Expenditures 15-22'!G62,'Expenditures 15-22'!I62)+'Expenditures 15-22'!K125-SUM('Expenditures 15-22'!G125,'Expenditures 15-22'!I125)+'Expenditures 15-22'!K182-SUM('Expenditures 15-22'!G182,'Expenditures 15-22'!I182)+'Expenditures 15-22'!D267</f>
        <v>296270</v>
      </c>
      <c r="H29" s="985"/>
    </row>
    <row r="30" spans="1:9" ht="12" customHeight="1" x14ac:dyDescent="0.2">
      <c r="A30" s="994" t="s">
        <v>100</v>
      </c>
      <c r="B30" s="997"/>
      <c r="C30" s="993">
        <v>2560</v>
      </c>
      <c r="D30" s="1802"/>
      <c r="E30" s="1804">
        <f>'Expenditures 15-22'!K63-SUM('Expenditures 15-22'!G63,'Expenditures 15-22'!I63)+'Expenditures 15-22'!D268-E10</f>
        <v>0</v>
      </c>
      <c r="F30" s="1802"/>
      <c r="G30" s="1804">
        <f>'Expenditures 15-22'!K63-SUM('Expenditures 15-22'!G63,'Expenditures 15-22'!I63)+'Expenditures 15-22'!D268-E10</f>
        <v>0</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1823</v>
      </c>
      <c r="B40" s="991"/>
      <c r="C40" s="993"/>
      <c r="D40" s="1802"/>
      <c r="E40" s="1806">
        <f>-'Contracts Paid in CY 29'!G142</f>
        <v>0</v>
      </c>
      <c r="F40" s="1802"/>
      <c r="G40" s="1806">
        <f>-'Contracts Paid in CY 29'!G142</f>
        <v>0</v>
      </c>
    </row>
    <row r="41" spans="1:7" ht="12" customHeight="1" x14ac:dyDescent="0.2">
      <c r="A41" s="998" t="s">
        <v>156</v>
      </c>
      <c r="B41" s="999"/>
      <c r="C41" s="1000"/>
      <c r="D41" s="1806">
        <f>SUM(D19:D39)</f>
        <v>93246</v>
      </c>
      <c r="E41" s="1806">
        <f>SUM(E19:E40)</f>
        <v>3300254</v>
      </c>
      <c r="F41" s="1806">
        <f>SUM(F19:F39)</f>
        <v>388700</v>
      </c>
      <c r="G41" s="1806">
        <f>SUM(G19:G40)</f>
        <v>3004800</v>
      </c>
    </row>
    <row r="42" spans="1:7" x14ac:dyDescent="0.2">
      <c r="A42" s="987"/>
      <c r="B42" s="162"/>
      <c r="C42" s="1001"/>
      <c r="D42" s="2289" t="s">
        <v>522</v>
      </c>
      <c r="E42" s="2290"/>
      <c r="F42" s="1002" t="s">
        <v>523</v>
      </c>
      <c r="G42" s="1003"/>
    </row>
    <row r="43" spans="1:7" ht="12" customHeight="1" x14ac:dyDescent="0.2">
      <c r="A43" s="987"/>
      <c r="B43" s="162"/>
      <c r="C43" s="1001"/>
      <c r="D43" s="1807" t="s">
        <v>473</v>
      </c>
      <c r="E43" s="1808">
        <f>D41</f>
        <v>93246</v>
      </c>
      <c r="F43" s="1807" t="s">
        <v>473</v>
      </c>
      <c r="G43" s="1808">
        <f>F41</f>
        <v>388700</v>
      </c>
    </row>
    <row r="44" spans="1:7" ht="12" customHeight="1" x14ac:dyDescent="0.2">
      <c r="A44" s="987"/>
      <c r="B44" s="162"/>
      <c r="C44" s="1001"/>
      <c r="D44" s="1807" t="s">
        <v>474</v>
      </c>
      <c r="E44" s="1808">
        <f>E41</f>
        <v>3300254</v>
      </c>
      <c r="F44" s="1807" t="s">
        <v>474</v>
      </c>
      <c r="G44" s="1808">
        <f>G41</f>
        <v>3004800</v>
      </c>
    </row>
    <row r="45" spans="1:7" ht="12" customHeight="1" x14ac:dyDescent="0.2">
      <c r="A45" s="987"/>
      <c r="B45" s="162"/>
      <c r="C45" s="162"/>
      <c r="D45" s="1809" t="s">
        <v>1006</v>
      </c>
      <c r="E45" s="1810">
        <f>(E43/E44)</f>
        <v>2.825418892000434E-2</v>
      </c>
      <c r="F45" s="1809" t="s">
        <v>1006</v>
      </c>
      <c r="G45" s="1810">
        <f>(G43/G44)</f>
        <v>0.12935969116080936</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47" sqref="A47"/>
      <selection pane="bottomLeft" sqref="A1:F1"/>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8" t="s">
        <v>1379</v>
      </c>
      <c r="B1" s="2308"/>
      <c r="C1" s="2308"/>
      <c r="D1" s="2308"/>
      <c r="E1" s="2308"/>
      <c r="F1" s="2308"/>
    </row>
    <row r="2" spans="1:10" x14ac:dyDescent="0.2">
      <c r="A2" s="1887" t="s">
        <v>1911</v>
      </c>
      <c r="B2" s="1848"/>
      <c r="C2" s="1887"/>
      <c r="D2" s="1848"/>
      <c r="E2" s="1848"/>
      <c r="F2" s="1849"/>
    </row>
    <row r="3" spans="1:10" x14ac:dyDescent="0.2">
      <c r="A3" s="1887" t="s">
        <v>1976</v>
      </c>
      <c r="B3" s="1848"/>
      <c r="C3" s="1887"/>
      <c r="D3" s="1848"/>
      <c r="E3" s="1848"/>
      <c r="F3" s="1849"/>
    </row>
    <row r="4" spans="1:10" ht="3.75" customHeight="1" x14ac:dyDescent="0.2">
      <c r="A4" s="1848"/>
      <c r="B4" s="1848"/>
      <c r="C4" s="1848"/>
      <c r="D4" s="1848"/>
      <c r="E4" s="1848"/>
      <c r="F4" s="1849"/>
    </row>
    <row r="5" spans="1:10" ht="15" x14ac:dyDescent="0.25">
      <c r="A5" s="2309" t="s">
        <v>1546</v>
      </c>
      <c r="B5" s="2310"/>
      <c r="C5" s="2311"/>
      <c r="D5" s="2311"/>
      <c r="E5" s="2311"/>
      <c r="F5" s="2311"/>
    </row>
    <row r="6" spans="1:10" ht="12" customHeight="1" x14ac:dyDescent="0.25">
      <c r="A6" s="1850"/>
      <c r="B6" s="1851"/>
      <c r="C6" s="2312" t="str">
        <f>COVER!A17</f>
        <v>Bement CUSD 5</v>
      </c>
      <c r="D6" s="2312"/>
      <c r="E6" s="2312"/>
      <c r="F6" s="1852"/>
    </row>
    <row r="7" spans="1:10" ht="11.25" customHeight="1" thickBot="1" x14ac:dyDescent="0.3">
      <c r="A7" s="1850"/>
      <c r="B7" s="1851"/>
      <c r="C7" s="2313">
        <f>COVER!A13</f>
        <v>39074005026</v>
      </c>
      <c r="D7" s="2313"/>
      <c r="E7" s="2313"/>
      <c r="F7" s="1852"/>
    </row>
    <row r="8" spans="1:10" ht="25.5" customHeight="1" thickBot="1" x14ac:dyDescent="0.25">
      <c r="A8" s="1893" t="s">
        <v>1907</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t="s">
        <v>2073</v>
      </c>
      <c r="D13" s="1865" t="s">
        <v>2073</v>
      </c>
      <c r="E13" s="1868" t="s">
        <v>2073</v>
      </c>
      <c r="F13" s="1867" t="s">
        <v>2090</v>
      </c>
      <c r="H13" s="1878">
        <f t="shared" si="0"/>
        <v>5</v>
      </c>
      <c r="I13" s="1878">
        <f t="shared" si="1"/>
        <v>5</v>
      </c>
      <c r="J13" s="1878">
        <f t="shared" si="2"/>
        <v>5</v>
      </c>
    </row>
    <row r="14" spans="1:10" ht="12" customHeight="1" x14ac:dyDescent="0.2">
      <c r="A14" s="1863" t="s">
        <v>1386</v>
      </c>
      <c r="B14" s="1864"/>
      <c r="C14" s="1865" t="s">
        <v>2073</v>
      </c>
      <c r="D14" s="1865" t="s">
        <v>2073</v>
      </c>
      <c r="E14" s="1868" t="s">
        <v>2073</v>
      </c>
      <c r="F14" s="1867" t="s">
        <v>2090</v>
      </c>
      <c r="H14" s="1878">
        <f t="shared" si="0"/>
        <v>5</v>
      </c>
      <c r="I14" s="1878">
        <f t="shared" si="1"/>
        <v>5</v>
      </c>
      <c r="J14" s="1878">
        <f t="shared" si="2"/>
        <v>5</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t="s">
        <v>2073</v>
      </c>
      <c r="D16" s="1865" t="s">
        <v>2073</v>
      </c>
      <c r="E16" s="1868" t="s">
        <v>2073</v>
      </c>
      <c r="F16" s="1867" t="s">
        <v>2091</v>
      </c>
      <c r="H16" s="1878">
        <f t="shared" si="0"/>
        <v>5</v>
      </c>
      <c r="I16" s="1878">
        <f t="shared" si="1"/>
        <v>5</v>
      </c>
      <c r="J16" s="1878">
        <f t="shared" si="2"/>
        <v>5</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t="s">
        <v>2073</v>
      </c>
      <c r="D25" s="1865" t="s">
        <v>2073</v>
      </c>
      <c r="E25" s="1868" t="s">
        <v>2073</v>
      </c>
      <c r="F25" s="1867" t="s">
        <v>2090</v>
      </c>
      <c r="H25" s="1878">
        <f t="shared" si="0"/>
        <v>5</v>
      </c>
      <c r="I25" s="1878">
        <f t="shared" si="1"/>
        <v>5</v>
      </c>
      <c r="J25" s="1878">
        <f t="shared" si="2"/>
        <v>5</v>
      </c>
    </row>
    <row r="26" spans="1:12" ht="12" customHeight="1" x14ac:dyDescent="0.2">
      <c r="A26" s="1863" t="s">
        <v>1534</v>
      </c>
      <c r="B26" s="1864"/>
      <c r="C26" s="1865" t="s">
        <v>2073</v>
      </c>
      <c r="D26" s="1865" t="s">
        <v>2073</v>
      </c>
      <c r="E26" s="1868" t="s">
        <v>2073</v>
      </c>
      <c r="F26" s="1867" t="s">
        <v>2092</v>
      </c>
      <c r="H26" s="1878">
        <f t="shared" si="0"/>
        <v>5</v>
      </c>
      <c r="I26" s="1878">
        <f t="shared" si="1"/>
        <v>5</v>
      </c>
      <c r="J26" s="1878">
        <f t="shared" si="2"/>
        <v>5</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t="s">
        <v>2073</v>
      </c>
      <c r="D30" s="1865" t="s">
        <v>2073</v>
      </c>
      <c r="E30" s="1868" t="s">
        <v>2073</v>
      </c>
      <c r="F30" s="1867" t="s">
        <v>2090</v>
      </c>
      <c r="H30" s="1878">
        <f t="shared" si="0"/>
        <v>5</v>
      </c>
      <c r="I30" s="1878">
        <f t="shared" si="1"/>
        <v>5</v>
      </c>
      <c r="J30" s="1878">
        <f t="shared" si="2"/>
        <v>5</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t="s">
        <v>2073</v>
      </c>
      <c r="D32" s="1865" t="s">
        <v>2073</v>
      </c>
      <c r="E32" s="1868" t="s">
        <v>2073</v>
      </c>
      <c r="F32" s="1867" t="s">
        <v>2093</v>
      </c>
      <c r="H32" s="1878">
        <f t="shared" si="0"/>
        <v>5</v>
      </c>
      <c r="I32" s="1878">
        <f t="shared" si="1"/>
        <v>5</v>
      </c>
      <c r="J32" s="1878">
        <f t="shared" si="2"/>
        <v>5</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35</v>
      </c>
      <c r="I34" s="1878">
        <f>SUM(I11:I32)</f>
        <v>35</v>
      </c>
      <c r="J34" s="1878">
        <f>SUM(J11:J32)</f>
        <v>35</v>
      </c>
      <c r="K34" s="1878">
        <f>SUM(H34:J34)</f>
        <v>105</v>
      </c>
    </row>
    <row r="35" spans="1:11" ht="12" customHeight="1" x14ac:dyDescent="0.2">
      <c r="A35" s="1871" t="s">
        <v>1392</v>
      </c>
      <c r="B35" s="1872"/>
      <c r="C35" s="2314"/>
      <c r="D35" s="2314"/>
      <c r="E35" s="2314"/>
      <c r="F35" s="2315"/>
    </row>
    <row r="36" spans="1:11" ht="12" customHeight="1" x14ac:dyDescent="0.2">
      <c r="A36" s="2297"/>
      <c r="B36" s="2298"/>
      <c r="C36" s="2298"/>
      <c r="D36" s="2298"/>
      <c r="E36" s="2298"/>
      <c r="F36" s="2299"/>
    </row>
    <row r="37" spans="1:11" ht="12" customHeight="1" x14ac:dyDescent="0.2">
      <c r="A37" s="2297"/>
      <c r="B37" s="2298"/>
      <c r="C37" s="2298"/>
      <c r="D37" s="2298"/>
      <c r="E37" s="2298"/>
      <c r="F37" s="2299"/>
    </row>
    <row r="38" spans="1:11" ht="12" customHeight="1" x14ac:dyDescent="0.2">
      <c r="A38" s="2300"/>
      <c r="B38" s="2301"/>
      <c r="C38" s="2301"/>
      <c r="D38" s="2301"/>
      <c r="E38" s="2301"/>
      <c r="F38" s="2302"/>
    </row>
    <row r="39" spans="1:11" ht="4.5" hidden="1" customHeight="1" x14ac:dyDescent="0.2">
      <c r="A39" s="1873"/>
      <c r="B39" s="1873"/>
      <c r="C39" s="1873"/>
      <c r="D39" s="1873"/>
      <c r="E39" s="1873"/>
      <c r="F39" s="1873"/>
    </row>
    <row r="40" spans="1:11" s="1870" customFormat="1" ht="12" customHeight="1" x14ac:dyDescent="0.25">
      <c r="A40" s="1874" t="s">
        <v>1391</v>
      </c>
      <c r="B40" s="1875"/>
      <c r="C40" s="2303"/>
      <c r="D40" s="2303"/>
      <c r="E40" s="2303"/>
      <c r="F40" s="2304"/>
      <c r="H40" s="1879"/>
      <c r="I40" s="1879"/>
      <c r="J40" s="1879"/>
      <c r="K40" s="1879"/>
    </row>
    <row r="41" spans="1:11" s="1870" customFormat="1" ht="12" customHeight="1" x14ac:dyDescent="0.25">
      <c r="A41" s="2305"/>
      <c r="B41" s="2306"/>
      <c r="C41" s="2306"/>
      <c r="D41" s="2306"/>
      <c r="E41" s="2306"/>
      <c r="F41" s="2307"/>
      <c r="H41" s="1879"/>
      <c r="I41" s="1879"/>
      <c r="J41" s="1879"/>
      <c r="K41" s="1879"/>
    </row>
    <row r="42" spans="1:11" s="1870" customFormat="1" ht="12" customHeight="1" x14ac:dyDescent="0.25">
      <c r="A42" s="2305"/>
      <c r="B42" s="2306"/>
      <c r="C42" s="2306"/>
      <c r="D42" s="2306"/>
      <c r="E42" s="2306"/>
      <c r="F42" s="2307"/>
      <c r="H42" s="1879"/>
      <c r="I42" s="1879"/>
      <c r="J42" s="1879"/>
      <c r="K42" s="1879"/>
    </row>
    <row r="43" spans="1:11" s="1870" customFormat="1" ht="15" x14ac:dyDescent="0.25">
      <c r="A43" s="2294"/>
      <c r="B43" s="2295"/>
      <c r="C43" s="2295"/>
      <c r="D43" s="2295"/>
      <c r="E43" s="2295"/>
      <c r="F43" s="2296"/>
      <c r="H43" s="1879"/>
      <c r="I43" s="1879"/>
      <c r="J43" s="1879"/>
      <c r="K43" s="1879"/>
    </row>
    <row r="44" spans="1:11" s="1870" customFormat="1" ht="12" hidden="1" customHeight="1" x14ac:dyDescent="0.25">
      <c r="A44" s="2294"/>
      <c r="B44" s="2295"/>
      <c r="C44" s="2295"/>
      <c r="D44" s="2295"/>
      <c r="E44" s="2295"/>
      <c r="F44" s="2296"/>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Q40"/>
  <sheetViews>
    <sheetView showGridLines="0" defaultGridColor="0" colorId="8" zoomScale="110" zoomScaleNormal="110" workbookViewId="0"/>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21" t="str">
        <f>COVER!A17</f>
        <v>Bement CUSD 5</v>
      </c>
      <c r="J6" s="2322"/>
      <c r="Q6" s="1664"/>
    </row>
    <row r="7" spans="1:17" x14ac:dyDescent="0.2">
      <c r="A7" s="2323" t="s">
        <v>869</v>
      </c>
      <c r="B7" s="2324"/>
      <c r="C7" s="2324"/>
      <c r="D7" s="2324"/>
      <c r="E7" s="2325"/>
      <c r="F7" s="1017"/>
      <c r="G7" s="1009"/>
      <c r="H7" s="1016" t="s">
        <v>372</v>
      </c>
      <c r="I7" s="2326">
        <f>COVER!A13</f>
        <v>39074005026</v>
      </c>
      <c r="J7" s="2326"/>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1977</v>
      </c>
      <c r="F9" s="1023"/>
      <c r="G9" s="1023"/>
      <c r="H9" s="1896" t="s">
        <v>1978</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7" t="s">
        <v>481</v>
      </c>
      <c r="B11" s="2328"/>
      <c r="C11" s="2329"/>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142606</v>
      </c>
      <c r="F12" s="1039"/>
      <c r="G12" s="1811">
        <f t="shared" ref="G12:G18" si="0">SUM(E12:F12)</f>
        <v>142606</v>
      </c>
      <c r="H12" s="1040">
        <v>146993</v>
      </c>
      <c r="I12" s="1039"/>
      <c r="J12" s="1811">
        <f t="shared" ref="J12:J18" si="1">SUM(H12:I12)</f>
        <v>146993</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30" t="s">
        <v>7</v>
      </c>
      <c r="C18" s="2331"/>
      <c r="D18" s="2332"/>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142606</v>
      </c>
      <c r="F19" s="1813">
        <f t="shared" si="2"/>
        <v>0</v>
      </c>
      <c r="G19" s="1813">
        <f t="shared" si="2"/>
        <v>142606</v>
      </c>
      <c r="H19" s="1813">
        <f t="shared" si="2"/>
        <v>146993</v>
      </c>
      <c r="I19" s="1813">
        <f t="shared" si="2"/>
        <v>0</v>
      </c>
      <c r="J19" s="1813">
        <f t="shared" si="2"/>
        <v>146993</v>
      </c>
    </row>
    <row r="20" spans="1:10" ht="13.5" thickTop="1" x14ac:dyDescent="0.2">
      <c r="A20" s="1035">
        <v>9</v>
      </c>
      <c r="B20" s="2333" t="s">
        <v>1979</v>
      </c>
      <c r="C20" s="2333"/>
      <c r="D20" s="2334"/>
      <c r="E20" s="1046"/>
      <c r="F20" s="1046"/>
      <c r="G20" s="1046"/>
      <c r="H20" s="1046"/>
      <c r="I20" s="1046"/>
      <c r="J20" s="1814">
        <f>IF(AND(G19&gt;0,J19&gt;0),(((J19-G19)/G19)),"Enter Budget Data")</f>
        <v>3.0763081497272204E-2</v>
      </c>
    </row>
    <row r="21" spans="1:10" ht="9" customHeight="1" x14ac:dyDescent="0.2">
      <c r="B21" s="1047"/>
    </row>
    <row r="22" spans="1:10" x14ac:dyDescent="0.2">
      <c r="A22" s="1048" t="s">
        <v>133</v>
      </c>
      <c r="B22" s="1047"/>
    </row>
    <row r="23" spans="1:10" x14ac:dyDescent="0.2">
      <c r="A23" s="1011" t="s">
        <v>1980</v>
      </c>
      <c r="B23" s="1047"/>
    </row>
    <row r="24" spans="1:10" x14ac:dyDescent="0.2">
      <c r="A24" s="1011" t="s">
        <v>1993</v>
      </c>
      <c r="B24" s="1047"/>
    </row>
    <row r="25" spans="1:10" x14ac:dyDescent="0.2">
      <c r="A25" s="1049"/>
      <c r="B25" s="1047"/>
    </row>
    <row r="26" spans="1:10" ht="20.100000000000001" customHeight="1" x14ac:dyDescent="0.2">
      <c r="B26" s="1047"/>
      <c r="C26" s="2339"/>
      <c r="D26" s="2339"/>
      <c r="E26" s="1050"/>
      <c r="F26" s="2338"/>
      <c r="G26" s="2338"/>
    </row>
    <row r="27" spans="1:10" x14ac:dyDescent="0.2">
      <c r="B27" s="1047"/>
      <c r="C27" s="1051" t="s">
        <v>1033</v>
      </c>
      <c r="D27" s="1052"/>
      <c r="E27" s="1053"/>
      <c r="F27" s="2335" t="s">
        <v>1509</v>
      </c>
      <c r="G27" s="2335"/>
    </row>
    <row r="28" spans="1:10" ht="28.5" customHeight="1" x14ac:dyDescent="0.2">
      <c r="B28" s="1047"/>
      <c r="C28" s="2337"/>
      <c r="D28" s="2337"/>
      <c r="E28" s="1054"/>
      <c r="F28" s="2337"/>
      <c r="G28" s="2337"/>
    </row>
    <row r="29" spans="1:10" x14ac:dyDescent="0.2">
      <c r="B29" s="1047"/>
      <c r="C29" s="1055" t="s">
        <v>1561</v>
      </c>
      <c r="E29" s="1056"/>
      <c r="F29" s="2336" t="s">
        <v>1510</v>
      </c>
      <c r="G29" s="2336"/>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8" t="s">
        <v>132</v>
      </c>
      <c r="D33" s="2319"/>
      <c r="E33" s="2319"/>
      <c r="F33" s="2319"/>
      <c r="G33" s="2319"/>
      <c r="H33" s="2319"/>
      <c r="I33" s="2319"/>
    </row>
    <row r="34" spans="1:10" ht="10.35" customHeight="1" x14ac:dyDescent="0.2">
      <c r="C34" s="2319"/>
      <c r="D34" s="2319"/>
      <c r="E34" s="2319"/>
      <c r="F34" s="2319"/>
      <c r="G34" s="2319"/>
      <c r="H34" s="2319"/>
      <c r="I34" s="2319"/>
    </row>
    <row r="35" spans="1:10" ht="7.5" customHeight="1" x14ac:dyDescent="0.2">
      <c r="C35" s="1062"/>
    </row>
    <row r="36" spans="1:10" ht="13.5" customHeight="1" x14ac:dyDescent="0.2">
      <c r="B36" s="1061"/>
      <c r="C36" s="2320" t="s">
        <v>1981</v>
      </c>
      <c r="D36" s="2319"/>
      <c r="E36" s="2319"/>
      <c r="F36" s="2319"/>
      <c r="G36" s="2319"/>
      <c r="H36" s="2319"/>
      <c r="I36" s="2319"/>
      <c r="J36" s="1063"/>
    </row>
    <row r="37" spans="1:10" ht="22.5" customHeight="1" x14ac:dyDescent="0.2">
      <c r="C37" s="2319"/>
      <c r="D37" s="2319"/>
      <c r="E37" s="2319"/>
      <c r="F37" s="2319"/>
      <c r="G37" s="2319"/>
      <c r="H37" s="2319"/>
      <c r="I37" s="2319"/>
      <c r="J37" s="1063"/>
    </row>
    <row r="38" spans="1:10" ht="7.5" customHeight="1" x14ac:dyDescent="0.2">
      <c r="C38" s="1062"/>
      <c r="D38" s="1064"/>
      <c r="E38" s="1065"/>
      <c r="F38" s="1066"/>
      <c r="G38" s="1065"/>
    </row>
    <row r="39" spans="1:10" ht="13.5" customHeight="1" x14ac:dyDescent="0.2">
      <c r="B39" s="1061"/>
      <c r="C39" s="2316" t="s">
        <v>882</v>
      </c>
      <c r="D39" s="2317"/>
      <c r="E39" s="2317"/>
      <c r="F39" s="2317"/>
      <c r="G39" s="2317"/>
      <c r="H39" s="2317"/>
      <c r="I39" s="2317"/>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2" firstPageNumber="31" fitToHeight="0"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1"/>
  <sheetViews>
    <sheetView showGridLines="0" zoomScale="110" zoomScaleNormal="110" workbookViewId="0"/>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1942" t="s">
        <v>2094</v>
      </c>
    </row>
    <row r="6" spans="1:2" x14ac:dyDescent="0.2">
      <c r="A6" s="1068"/>
      <c r="B6" s="329" t="s">
        <v>2095</v>
      </c>
    </row>
    <row r="7" spans="1:2" x14ac:dyDescent="0.2">
      <c r="A7" s="1068"/>
      <c r="B7" s="329" t="s">
        <v>2096</v>
      </c>
    </row>
    <row r="8" spans="1:2" x14ac:dyDescent="0.2">
      <c r="A8" s="1068"/>
      <c r="B8" s="329" t="s">
        <v>2097</v>
      </c>
    </row>
    <row r="9" spans="1:2" x14ac:dyDescent="0.2">
      <c r="A9" s="1069"/>
    </row>
    <row r="10" spans="1:2" x14ac:dyDescent="0.2">
      <c r="A10" s="1069">
        <v>2</v>
      </c>
      <c r="B10" s="1942" t="s">
        <v>2098</v>
      </c>
    </row>
    <row r="11" spans="1:2" x14ac:dyDescent="0.2">
      <c r="A11" s="1069"/>
      <c r="B11" s="1943" t="s">
        <v>2099</v>
      </c>
    </row>
    <row r="12" spans="1:2" x14ac:dyDescent="0.2">
      <c r="A12" s="1069"/>
      <c r="B12" s="329" t="s">
        <v>2100</v>
      </c>
    </row>
    <row r="13" spans="1:2" x14ac:dyDescent="0.2">
      <c r="A13" s="1069"/>
    </row>
    <row r="14" spans="1:2" x14ac:dyDescent="0.2">
      <c r="A14" s="1069">
        <v>3</v>
      </c>
      <c r="B14" s="1942" t="s">
        <v>2101</v>
      </c>
    </row>
    <row r="15" spans="1:2" x14ac:dyDescent="0.2">
      <c r="A15" s="1069"/>
      <c r="B15" s="1943" t="s">
        <v>2099</v>
      </c>
    </row>
    <row r="16" spans="1:2" x14ac:dyDescent="0.2">
      <c r="A16" s="1069"/>
      <c r="B16" s="329" t="s">
        <v>2102</v>
      </c>
    </row>
    <row r="17" spans="1:2" x14ac:dyDescent="0.2">
      <c r="A17" s="1069"/>
      <c r="B17" s="1943" t="s">
        <v>2103</v>
      </c>
    </row>
    <row r="18" spans="1:2" x14ac:dyDescent="0.2">
      <c r="A18" s="1069"/>
      <c r="B18" s="329" t="s">
        <v>2104</v>
      </c>
    </row>
    <row r="19" spans="1:2" x14ac:dyDescent="0.2">
      <c r="A19" s="1069"/>
    </row>
    <row r="20" spans="1:2" x14ac:dyDescent="0.2">
      <c r="A20" s="1069">
        <v>4</v>
      </c>
      <c r="B20" s="1942" t="s">
        <v>2105</v>
      </c>
    </row>
    <row r="21" spans="1:2" x14ac:dyDescent="0.2">
      <c r="A21" s="1069"/>
      <c r="B21" s="1943" t="s">
        <v>2099</v>
      </c>
    </row>
    <row r="22" spans="1:2" x14ac:dyDescent="0.2">
      <c r="A22" s="1069"/>
      <c r="B22" s="329" t="s">
        <v>2106</v>
      </c>
    </row>
    <row r="23" spans="1:2" x14ac:dyDescent="0.2">
      <c r="A23" s="1069"/>
    </row>
    <row r="24" spans="1:2" x14ac:dyDescent="0.2">
      <c r="A24" s="1069">
        <v>5</v>
      </c>
      <c r="B24" s="1942" t="s">
        <v>2107</v>
      </c>
    </row>
    <row r="25" spans="1:2" x14ac:dyDescent="0.2">
      <c r="A25" s="1069"/>
      <c r="B25" s="1943" t="s">
        <v>2099</v>
      </c>
    </row>
    <row r="26" spans="1:2" x14ac:dyDescent="0.2">
      <c r="A26" s="1069"/>
      <c r="B26" s="329" t="s">
        <v>2108</v>
      </c>
    </row>
    <row r="27" spans="1:2" x14ac:dyDescent="0.2">
      <c r="A27" s="1069"/>
      <c r="B27" s="329" t="s">
        <v>2109</v>
      </c>
    </row>
    <row r="28" spans="1:2" x14ac:dyDescent="0.2">
      <c r="A28" s="1069"/>
    </row>
    <row r="29" spans="1:2" x14ac:dyDescent="0.2">
      <c r="A29" s="1069">
        <v>6</v>
      </c>
      <c r="B29" s="1942" t="s">
        <v>2110</v>
      </c>
    </row>
    <row r="30" spans="1:2" x14ac:dyDescent="0.2">
      <c r="A30" s="1069"/>
      <c r="B30" s="329" t="s">
        <v>2111</v>
      </c>
    </row>
    <row r="31" spans="1:2" x14ac:dyDescent="0.2">
      <c r="A31" s="1069"/>
    </row>
    <row r="32" spans="1:2" x14ac:dyDescent="0.2">
      <c r="A32" s="1069">
        <v>7</v>
      </c>
      <c r="B32" s="1942" t="s">
        <v>2112</v>
      </c>
    </row>
    <row r="33" spans="1:2" x14ac:dyDescent="0.2">
      <c r="A33" s="1069"/>
      <c r="B33" s="1943" t="s">
        <v>2113</v>
      </c>
    </row>
    <row r="34" spans="1:2" x14ac:dyDescent="0.2">
      <c r="A34" s="1069"/>
      <c r="B34" s="329" t="s">
        <v>2114</v>
      </c>
    </row>
    <row r="35" spans="1:2" x14ac:dyDescent="0.2">
      <c r="A35" s="1069"/>
    </row>
    <row r="36" spans="1:2" x14ac:dyDescent="0.2">
      <c r="A36" s="1069"/>
    </row>
    <row r="37" spans="1:2" x14ac:dyDescent="0.2">
      <c r="A37" s="1069"/>
    </row>
    <row r="38" spans="1:2" x14ac:dyDescent="0.2">
      <c r="A38" s="1069"/>
    </row>
    <row r="39" spans="1:2" x14ac:dyDescent="0.2">
      <c r="A39" s="1069"/>
    </row>
    <row r="40" spans="1:2" x14ac:dyDescent="0.2">
      <c r="A40" s="1069"/>
    </row>
    <row r="41" spans="1:2" x14ac:dyDescent="0.2">
      <c r="A41" s="1069"/>
    </row>
    <row r="42" spans="1:2" x14ac:dyDescent="0.2">
      <c r="A42" s="1069"/>
    </row>
    <row r="43" spans="1:2" x14ac:dyDescent="0.2">
      <c r="A43" s="1069"/>
    </row>
    <row r="44" spans="1:2" x14ac:dyDescent="0.2">
      <c r="A44" s="1069"/>
    </row>
    <row r="45" spans="1:2" x14ac:dyDescent="0.2">
      <c r="A45" s="1069"/>
    </row>
    <row r="46" spans="1:2" x14ac:dyDescent="0.2">
      <c r="A46" s="1069"/>
    </row>
    <row r="47" spans="1:2" x14ac:dyDescent="0.2">
      <c r="A47" s="1069"/>
    </row>
    <row r="48" spans="1:2"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c r="B60" s="258" t="str">
        <f>COVER!A17</f>
        <v>Bement CUSD 5</v>
      </c>
    </row>
    <row r="61" spans="1:2" x14ac:dyDescent="0.2">
      <c r="B61" s="1070">
        <f>COVER!A13</f>
        <v>39074005026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36" t="s">
        <v>1611</v>
      </c>
    </row>
    <row r="23" spans="1:5" x14ac:dyDescent="0.2">
      <c r="A23" s="168"/>
      <c r="B23" s="162" t="s">
        <v>1856</v>
      </c>
      <c r="D23" s="167" t="s">
        <v>637</v>
      </c>
      <c r="E23" s="1836"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7" t="s">
        <v>1065</v>
      </c>
      <c r="B35" s="2057"/>
      <c r="C35" s="2057"/>
      <c r="D35" s="2057"/>
      <c r="E35" s="205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4" t="s">
        <v>691</v>
      </c>
      <c r="B40" s="2054"/>
      <c r="C40" s="2054"/>
      <c r="D40" s="2054"/>
      <c r="E40" s="2054"/>
    </row>
    <row r="41" spans="1:5" x14ac:dyDescent="0.2">
      <c r="A41" s="2055" t="s">
        <v>1608</v>
      </c>
      <c r="B41" s="2055"/>
      <c r="C41" s="2055"/>
      <c r="D41" s="2055"/>
      <c r="E41" s="2055"/>
    </row>
    <row r="42" spans="1:5" ht="12.75" customHeight="1" x14ac:dyDescent="0.2">
      <c r="A42" s="2056" t="s">
        <v>1022</v>
      </c>
      <c r="B42" s="2056"/>
      <c r="C42" s="2056"/>
      <c r="D42" s="2056"/>
      <c r="E42" s="2056"/>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40" t="s">
        <v>1685</v>
      </c>
      <c r="B18" s="2340"/>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0</xdr:col>
                <xdr:colOff>0</xdr:colOff>
                <xdr:row>0</xdr:row>
                <xdr:rowOff>0</xdr:rowOff>
              </from>
              <to>
                <xdr:col>1</xdr:col>
                <xdr:colOff>790575</xdr:colOff>
                <xdr:row>4</xdr:row>
                <xdr:rowOff>38100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1" t="s">
        <v>1690</v>
      </c>
      <c r="B1" s="2342"/>
      <c r="C1" s="2342"/>
      <c r="D1" s="2342"/>
      <c r="E1" s="2342"/>
      <c r="F1" s="2343"/>
    </row>
    <row r="2" spans="1:8" ht="45" customHeight="1" x14ac:dyDescent="0.2">
      <c r="A2" s="2351" t="s">
        <v>1985</v>
      </c>
      <c r="B2" s="2352"/>
      <c r="C2" s="2352"/>
      <c r="D2" s="2352"/>
      <c r="E2" s="2352"/>
      <c r="F2" s="2353"/>
      <c r="G2" s="1074"/>
      <c r="H2" s="1074"/>
    </row>
    <row r="3" spans="1:8" ht="57" customHeight="1" x14ac:dyDescent="0.2">
      <c r="A3" s="2354" t="s">
        <v>1686</v>
      </c>
      <c r="B3" s="2355"/>
      <c r="C3" s="2355"/>
      <c r="D3" s="2355"/>
      <c r="E3" s="2355"/>
      <c r="F3" s="2356"/>
      <c r="G3" s="1074"/>
      <c r="H3" s="1074"/>
    </row>
    <row r="4" spans="1:8" ht="14.25" customHeight="1" x14ac:dyDescent="0.2">
      <c r="A4" s="2360" t="s">
        <v>1986</v>
      </c>
      <c r="B4" s="2361"/>
      <c r="C4" s="2361"/>
      <c r="D4" s="2361"/>
      <c r="E4" s="2361"/>
      <c r="F4" s="2362"/>
      <c r="G4" s="1074"/>
      <c r="H4" s="1074"/>
    </row>
    <row r="5" spans="1:8" ht="14.25" customHeight="1" x14ac:dyDescent="0.2">
      <c r="A5" s="2363" t="s">
        <v>1982</v>
      </c>
      <c r="B5" s="2364"/>
      <c r="C5" s="2364"/>
      <c r="D5" s="2364"/>
      <c r="E5" s="2364"/>
      <c r="F5" s="2365"/>
      <c r="G5" s="1074"/>
      <c r="H5" s="1074"/>
    </row>
    <row r="6" spans="1:8" s="1075" customFormat="1" ht="41.25" customHeight="1" x14ac:dyDescent="0.2">
      <c r="A6" s="2357" t="s">
        <v>1691</v>
      </c>
      <c r="B6" s="2358"/>
      <c r="C6" s="2358"/>
      <c r="D6" s="2358"/>
      <c r="E6" s="2358"/>
      <c r="F6" s="2359"/>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2867315</v>
      </c>
      <c r="C8" s="1815">
        <f>'Acct Summary 7-8'!D8</f>
        <v>328554</v>
      </c>
      <c r="D8" s="1815">
        <f>'Acct Summary 7-8'!F8</f>
        <v>227536</v>
      </c>
      <c r="E8" s="1815">
        <f>'Acct Summary 7-8'!I8</f>
        <v>30408</v>
      </c>
      <c r="F8" s="1815">
        <f>SUM(B8:E8)</f>
        <v>3453813</v>
      </c>
    </row>
    <row r="9" spans="1:8" s="1079" customFormat="1" ht="14.25" customHeight="1" thickBot="1" x14ac:dyDescent="0.25">
      <c r="A9" s="1078" t="s">
        <v>1369</v>
      </c>
      <c r="B9" s="1816">
        <f>'Acct Summary 7-8'!C17</f>
        <v>2674486</v>
      </c>
      <c r="C9" s="1816">
        <f>'Acct Summary 7-8'!D17</f>
        <v>279368</v>
      </c>
      <c r="D9" s="1816">
        <f>'Acct Summary 7-8'!F17</f>
        <v>296270</v>
      </c>
      <c r="E9" s="1815"/>
      <c r="F9" s="1815">
        <f>SUM(B9:E9)</f>
        <v>3250124</v>
      </c>
    </row>
    <row r="10" spans="1:8" s="1079" customFormat="1" ht="14.25" thickTop="1" thickBot="1" x14ac:dyDescent="0.25">
      <c r="A10" s="1080" t="s">
        <v>1370</v>
      </c>
      <c r="B10" s="1817">
        <f>(B8-B9)</f>
        <v>192829</v>
      </c>
      <c r="C10" s="1817">
        <f>(C8-C9)</f>
        <v>49186</v>
      </c>
      <c r="D10" s="1817">
        <f>(D8-D9)</f>
        <v>-68734</v>
      </c>
      <c r="E10" s="1816">
        <f>(E8-E9)</f>
        <v>30408</v>
      </c>
      <c r="F10" s="1818">
        <f>SUM(F8-F9)</f>
        <v>203689</v>
      </c>
    </row>
    <row r="11" spans="1:8" s="1079" customFormat="1" ht="14.25" thickTop="1" thickBot="1" x14ac:dyDescent="0.25">
      <c r="A11" s="1081" t="s">
        <v>1983</v>
      </c>
      <c r="B11" s="1819">
        <f>'Acct Summary 7-8'!C81</f>
        <v>755721</v>
      </c>
      <c r="C11" s="1819">
        <f>'Acct Summary 7-8'!D81</f>
        <v>204263</v>
      </c>
      <c r="D11" s="1819">
        <f>'Acct Summary 7-8'!F81</f>
        <v>63783</v>
      </c>
      <c r="E11" s="1819">
        <f>'Acct Summary 7-8'!I81</f>
        <v>848842</v>
      </c>
      <c r="F11" s="1820">
        <f>SUM(B11:E11)</f>
        <v>1872609</v>
      </c>
    </row>
    <row r="12" spans="1:8" ht="16.5" customHeight="1" thickTop="1" x14ac:dyDescent="0.2">
      <c r="A12" s="1082"/>
      <c r="B12" s="1083"/>
      <c r="C12" s="2345" t="str">
        <f>IF(AND(F10&lt;0,F11&gt;=0,ABS(F10*3)&gt;ABS(F11)),A16,IF(AND(F10&lt;0,F11&gt;0,ABS(F10*3)&lt;=ABS(F11)),A17,IF(AND(F10&lt;0,F11&lt;0),A16,IF(F11=0,A19,A18))))</f>
        <v>Balanced - no deficit reduction plan is required.</v>
      </c>
      <c r="D12" s="2346"/>
      <c r="E12" s="2346"/>
      <c r="F12" s="2347"/>
    </row>
    <row r="13" spans="1:8" ht="19.5" customHeight="1" x14ac:dyDescent="0.2">
      <c r="A13" s="1084"/>
      <c r="B13" s="1085"/>
      <c r="C13" s="2345"/>
      <c r="D13" s="2346"/>
      <c r="E13" s="2346"/>
      <c r="F13" s="2347"/>
      <c r="H13" s="1074"/>
    </row>
    <row r="14" spans="1:8" ht="19.5" customHeight="1" x14ac:dyDescent="0.2">
      <c r="A14" s="1084"/>
      <c r="B14" s="1085"/>
      <c r="C14" s="2345"/>
      <c r="D14" s="2346"/>
      <c r="E14" s="2346"/>
      <c r="F14" s="2347"/>
      <c r="H14" s="1074"/>
    </row>
    <row r="15" spans="1:8" ht="17.25" customHeight="1" x14ac:dyDescent="0.2">
      <c r="A15" s="1084"/>
      <c r="B15" s="1085"/>
      <c r="C15" s="2348"/>
      <c r="D15" s="2349"/>
      <c r="E15" s="2349"/>
      <c r="F15" s="2350"/>
      <c r="H15" s="1074"/>
    </row>
    <row r="16" spans="1:8" s="310" customFormat="1" ht="51.75" hidden="1" customHeight="1" x14ac:dyDescent="0.2">
      <c r="A16" s="2344" t="s">
        <v>1687</v>
      </c>
      <c r="B16" s="2344"/>
      <c r="C16" s="2344"/>
      <c r="D16" s="2344"/>
      <c r="E16" s="2344"/>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32"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6" t="s">
        <v>665</v>
      </c>
      <c r="B3" s="2367"/>
      <c r="C3" s="2367"/>
      <c r="D3" s="2368"/>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7" t="s">
        <v>1504</v>
      </c>
      <c r="D7" s="2378"/>
    </row>
    <row r="8" spans="1:4" s="668" customFormat="1" ht="12.75" x14ac:dyDescent="0.2">
      <c r="A8" s="1138"/>
      <c r="B8" s="1093"/>
      <c r="C8" s="1096" t="s">
        <v>1503</v>
      </c>
      <c r="D8" s="1097"/>
    </row>
    <row r="9" spans="1:4" s="668" customFormat="1" ht="14.25" customHeight="1" x14ac:dyDescent="0.2">
      <c r="A9" s="1138"/>
      <c r="B9" s="1093">
        <f>B7+1</f>
        <v>4</v>
      </c>
      <c r="C9" s="1094" t="s">
        <v>1912</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9" t="s">
        <v>1008</v>
      </c>
      <c r="B15" s="2370"/>
      <c r="C15" s="2370"/>
      <c r="D15" s="2371"/>
    </row>
    <row r="16" spans="1:4" s="668" customFormat="1" ht="24" customHeight="1" x14ac:dyDescent="0.2">
      <c r="A16" s="2372" t="s">
        <v>663</v>
      </c>
      <c r="B16" s="2373"/>
      <c r="C16" s="2373"/>
      <c r="D16" s="2374"/>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81" t="s">
        <v>314</v>
      </c>
      <c r="D21" s="2382"/>
    </row>
    <row r="22" spans="1:10" ht="12.75" x14ac:dyDescent="0.2">
      <c r="A22" s="1139"/>
      <c r="B22" s="1140">
        <v>2</v>
      </c>
      <c r="C22" s="2379" t="s">
        <v>1524</v>
      </c>
      <c r="D22" s="2380"/>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3" t="s">
        <v>536</v>
      </c>
      <c r="D43" s="2384"/>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5" t="s">
        <v>784</v>
      </c>
      <c r="D56" s="2376"/>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1913</v>
      </c>
      <c r="D66" s="1125"/>
    </row>
    <row r="67" spans="1:4" x14ac:dyDescent="0.2">
      <c r="A67" s="1119"/>
      <c r="B67" s="1140"/>
      <c r="C67" s="1147" t="s">
        <v>1021</v>
      </c>
      <c r="D67" s="1125"/>
    </row>
    <row r="68" spans="1:4" x14ac:dyDescent="0.2">
      <c r="A68" s="1100"/>
      <c r="B68" s="1110"/>
      <c r="C68" s="1102" t="s">
        <v>1914</v>
      </c>
      <c r="D68" s="1124" t="str">
        <f>IF('Short-Term Long-Term Debt 24'!F49=SUM(,'Acct Summary 7-8'!C33:K33),"OK","ERROR!")</f>
        <v>OK</v>
      </c>
    </row>
    <row r="69" spans="1:4" x14ac:dyDescent="0.2">
      <c r="A69" s="1100"/>
      <c r="B69" s="1110"/>
      <c r="C69" s="1102" t="s">
        <v>1915</v>
      </c>
      <c r="D69" s="1124" t="str">
        <f>IF('Expenditures 15-22'!H170&lt;&gt;'Short-Term Long-Term Debt 24'!H49,"ERROR!","OK")</f>
        <v>OK</v>
      </c>
    </row>
    <row r="70" spans="1:4" x14ac:dyDescent="0.2">
      <c r="A70" s="1098"/>
      <c r="B70" s="1120">
        <f>B66+1</f>
        <v>9</v>
      </c>
      <c r="C70" s="2375" t="s">
        <v>1696</v>
      </c>
      <c r="D70" s="2376"/>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1916</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1917</v>
      </c>
      <c r="D78" s="1124" t="str">
        <f>IF(ISNUMBER('Acct Summary 7-8'!C9),"OK","ENTRY IS REQUIRED!")</f>
        <v>OK</v>
      </c>
    </row>
    <row r="79" spans="1:4" x14ac:dyDescent="0.2">
      <c r="A79" s="1119"/>
      <c r="B79" s="1120">
        <f>B74+1+1</f>
        <v>12</v>
      </c>
      <c r="C79" s="1130" t="s">
        <v>1902</v>
      </c>
      <c r="D79" s="1131" t="str">
        <f>IF(OR(COVER!$B$6="X",'PCTC-OEPP 27-28'!F78&gt;0),"OK","PLEASE ENTER 9 MO ADA.")</f>
        <v>OK</v>
      </c>
    </row>
    <row r="80" spans="1:4" x14ac:dyDescent="0.2">
      <c r="A80" s="1098"/>
      <c r="B80" s="1120">
        <v>13</v>
      </c>
      <c r="C80" s="1130" t="s">
        <v>1918</v>
      </c>
      <c r="D80" s="1131" t="str">
        <f>IF('Contracts Paid in CY 29'!D142&gt;0,"OK","PLEASE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39074005026</v>
      </c>
    </row>
    <row r="3" spans="1:2" x14ac:dyDescent="0.2">
      <c r="A3" t="s">
        <v>956</v>
      </c>
      <c r="B3" s="138" t="str">
        <f>COVER!A15</f>
        <v>PIATT</v>
      </c>
    </row>
    <row r="4" spans="1:2" x14ac:dyDescent="0.2">
      <c r="A4" t="s">
        <v>1007</v>
      </c>
      <c r="B4" s="138" t="str">
        <f>COVER!A17</f>
        <v>Bement CUSD 5</v>
      </c>
    </row>
    <row r="5" spans="1:2" x14ac:dyDescent="0.2">
      <c r="A5" t="s">
        <v>704</v>
      </c>
      <c r="B5" s="138" t="str">
        <f>COVER!A38</f>
        <v>SHEILA GREENWOOD</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No</v>
      </c>
    </row>
    <row r="15" spans="1:2" x14ac:dyDescent="0.2">
      <c r="A15" t="s">
        <v>577</v>
      </c>
      <c r="B15" s="138" t="str">
        <f>COVER!T23</f>
        <v>065.018319</v>
      </c>
    </row>
    <row r="16" spans="1:2" x14ac:dyDescent="0.2">
      <c r="A16" t="s">
        <v>422</v>
      </c>
      <c r="B16" s="138" t="str">
        <f>COVER!T13</f>
        <v>RUSSELL LEIGH &amp; ASSOCIATES LLC</v>
      </c>
    </row>
    <row r="17" spans="1:2" x14ac:dyDescent="0.2">
      <c r="A17" t="s">
        <v>884</v>
      </c>
      <c r="B17" s="138" t="str">
        <f>COVER!T15</f>
        <v>RUSS LEIGH</v>
      </c>
    </row>
    <row r="18" spans="1:2" x14ac:dyDescent="0.2">
      <c r="A18" t="s">
        <v>1150</v>
      </c>
      <c r="B18" s="138" t="str">
        <f>COVER!T17</f>
        <v>228 E MAIN ST</v>
      </c>
    </row>
    <row r="19" spans="1:2" x14ac:dyDescent="0.2">
      <c r="A19" t="s">
        <v>886</v>
      </c>
      <c r="B19" s="138" t="str">
        <f>COVER!T25</f>
        <v>admin@russleigh.com</v>
      </c>
    </row>
    <row r="20" spans="1:2" x14ac:dyDescent="0.2">
      <c r="A20" t="s">
        <v>887</v>
      </c>
      <c r="B20" s="138" t="str">
        <f>COVER!T19</f>
        <v>HOOPESTON</v>
      </c>
    </row>
    <row r="21" spans="1:2" x14ac:dyDescent="0.2">
      <c r="A21" t="s">
        <v>479</v>
      </c>
      <c r="B21" s="138" t="str">
        <f>COVER!X19</f>
        <v>IL</v>
      </c>
    </row>
    <row r="22" spans="1:2" x14ac:dyDescent="0.2">
      <c r="A22" t="s">
        <v>888</v>
      </c>
      <c r="B22" s="138">
        <f>COVER!Z19</f>
        <v>60942</v>
      </c>
    </row>
    <row r="23" spans="1:2" x14ac:dyDescent="0.2">
      <c r="A23" t="s">
        <v>1152</v>
      </c>
      <c r="B23" s="138" t="str">
        <f>COVER!T21</f>
        <v>217-283-9336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Yes</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Yes</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763859</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8138</v>
      </c>
      <c r="C91" s="2" t="s">
        <v>573</v>
      </c>
      <c r="D91" s="2" t="str">
        <f t="shared" si="0"/>
        <v>Error?</v>
      </c>
    </row>
    <row r="92" spans="1:4" x14ac:dyDescent="0.2">
      <c r="A92" s="5">
        <v>31</v>
      </c>
      <c r="B92" s="138">
        <f>'Assets-Liab 5-6'!C39</f>
        <v>754907</v>
      </c>
      <c r="D92" s="2" t="str">
        <f t="shared" si="0"/>
        <v>Error?</v>
      </c>
    </row>
    <row r="93" spans="1:4" x14ac:dyDescent="0.2">
      <c r="A93" s="5">
        <v>32</v>
      </c>
      <c r="B93" s="138">
        <f>'Assets-Liab 5-6'!C41</f>
        <v>763859</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204263</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204263</v>
      </c>
      <c r="D123" s="2" t="str">
        <f t="shared" si="0"/>
        <v>Error?</v>
      </c>
    </row>
    <row r="124" spans="1:4" x14ac:dyDescent="0.2">
      <c r="A124" s="5">
        <v>63</v>
      </c>
      <c r="B124" s="138">
        <f>'Assets-Liab 5-6'!D41</f>
        <v>204263</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3880</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3880</v>
      </c>
      <c r="D140" s="2" t="str">
        <f t="shared" si="1"/>
        <v>Error?</v>
      </c>
    </row>
    <row r="141" spans="1:4" x14ac:dyDescent="0.2">
      <c r="A141" s="5">
        <v>80</v>
      </c>
      <c r="B141" s="138">
        <f>'Assets-Liab 5-6'!E41</f>
        <v>3880</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63783</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63783</v>
      </c>
      <c r="D170" s="2" t="str">
        <f t="shared" si="1"/>
        <v>Error?</v>
      </c>
    </row>
    <row r="171" spans="1:4" x14ac:dyDescent="0.2">
      <c r="A171" s="5">
        <v>110</v>
      </c>
      <c r="B171" s="138">
        <f>'Assets-Liab 5-6'!F41</f>
        <v>63783</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141823</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141823</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48230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11357</v>
      </c>
      <c r="D212" s="2" t="str">
        <f t="shared" si="2"/>
        <v>Error?</v>
      </c>
    </row>
    <row r="213" spans="1:4" x14ac:dyDescent="0.2">
      <c r="A213" s="12">
        <v>152</v>
      </c>
      <c r="B213" s="138">
        <f>'Assets-Liab 5-6'!H41</f>
        <v>48230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17419</v>
      </c>
      <c r="D273" s="2" t="str">
        <f t="shared" si="3"/>
        <v>Error?</v>
      </c>
    </row>
    <row r="274" spans="1:4" x14ac:dyDescent="0.2">
      <c r="A274" s="5">
        <v>213</v>
      </c>
      <c r="B274" s="138">
        <f>'Assets-Liab 5-6'!M17</f>
        <v>3915790</v>
      </c>
      <c r="D274" s="2" t="str">
        <f t="shared" si="3"/>
        <v>Error?</v>
      </c>
    </row>
    <row r="275" spans="1:4" x14ac:dyDescent="0.2">
      <c r="A275" s="5">
        <v>214</v>
      </c>
      <c r="B275" s="138">
        <f>'Assets-Liab 5-6'!M18</f>
        <v>1630837</v>
      </c>
      <c r="D275" s="2" t="str">
        <f t="shared" si="3"/>
        <v>Error?</v>
      </c>
    </row>
    <row r="276" spans="1:4" x14ac:dyDescent="0.2">
      <c r="A276" s="5">
        <v>215</v>
      </c>
      <c r="B276" s="138">
        <f>'Assets-Liab 5-6'!M19</f>
        <v>1405672</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6969718</v>
      </c>
      <c r="C279" s="2" t="s">
        <v>573</v>
      </c>
      <c r="D279" s="2" t="str">
        <f t="shared" si="3"/>
        <v>Error?</v>
      </c>
    </row>
    <row r="280" spans="1:4" x14ac:dyDescent="0.2">
      <c r="A280" s="5">
        <v>219</v>
      </c>
      <c r="B280" s="138">
        <f>'Assets-Liab 5-6'!M40</f>
        <v>6969718</v>
      </c>
      <c r="D280" s="2" t="str">
        <f t="shared" si="3"/>
        <v>Error?</v>
      </c>
    </row>
    <row r="281" spans="1:4" x14ac:dyDescent="0.2">
      <c r="A281" s="5">
        <v>220</v>
      </c>
      <c r="B281" s="138">
        <f>'Assets-Liab 5-6'!M41</f>
        <v>6969718</v>
      </c>
      <c r="C281" s="2" t="s">
        <v>573</v>
      </c>
      <c r="D281" s="2" t="str">
        <f t="shared" si="3"/>
        <v>Error?</v>
      </c>
    </row>
    <row r="282" spans="1:4" x14ac:dyDescent="0.2">
      <c r="A282" s="5">
        <v>221</v>
      </c>
      <c r="B282" s="138">
        <f>'Assets-Liab 5-6'!N21</f>
        <v>3880</v>
      </c>
      <c r="D282" s="2" t="str">
        <f t="shared" si="3"/>
        <v>Error?</v>
      </c>
    </row>
    <row r="283" spans="1:4" x14ac:dyDescent="0.2">
      <c r="A283" s="5">
        <v>222</v>
      </c>
      <c r="B283" s="138">
        <f>'Assets-Liab 5-6'!N22</f>
        <v>4268854</v>
      </c>
      <c r="D283" s="2" t="str">
        <f t="shared" si="3"/>
        <v>Error?</v>
      </c>
    </row>
    <row r="284" spans="1:4" x14ac:dyDescent="0.2">
      <c r="A284" s="5">
        <v>223</v>
      </c>
      <c r="B284" s="138">
        <f>'Assets-Liab 5-6'!N23</f>
        <v>4272734</v>
      </c>
      <c r="C284" s="2" t="s">
        <v>573</v>
      </c>
      <c r="D284" s="2" t="str">
        <f t="shared" si="3"/>
        <v>Error?</v>
      </c>
    </row>
    <row r="285" spans="1:4" x14ac:dyDescent="0.2">
      <c r="A285" s="5">
        <v>224</v>
      </c>
      <c r="B285" s="138">
        <f>'Assets-Liab 5-6'!N36</f>
        <v>4272734</v>
      </c>
      <c r="D285" s="2" t="str">
        <f t="shared" si="3"/>
        <v>Error?</v>
      </c>
    </row>
    <row r="286" spans="1:4" x14ac:dyDescent="0.2">
      <c r="A286" s="10">
        <v>225</v>
      </c>
      <c r="D286" s="2" t="str">
        <f t="shared" si="3"/>
        <v>OK</v>
      </c>
    </row>
    <row r="287" spans="1:4" x14ac:dyDescent="0.2">
      <c r="A287" s="5">
        <v>226</v>
      </c>
      <c r="B287" s="138">
        <f>'Assets-Liab 5-6'!N37</f>
        <v>4272734</v>
      </c>
      <c r="C287" s="2" t="s">
        <v>573</v>
      </c>
      <c r="D287" s="2" t="str">
        <f t="shared" si="3"/>
        <v>Error?</v>
      </c>
    </row>
    <row r="288" spans="1:4" x14ac:dyDescent="0.2">
      <c r="A288" s="5">
        <v>227</v>
      </c>
      <c r="B288" s="138">
        <f>'Assets-Liab 5-6'!N41</f>
        <v>4272734</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902462</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98161</v>
      </c>
      <c r="D717" s="2" t="str">
        <f t="shared" si="10"/>
        <v>Error?</v>
      </c>
    </row>
    <row r="718" spans="1:4" x14ac:dyDescent="0.2">
      <c r="A718" s="5">
        <v>657</v>
      </c>
      <c r="B718" s="138">
        <f>'Expenditures 15-22'!C14</f>
        <v>116638</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1266042</v>
      </c>
      <c r="C720" s="2" t="s">
        <v>573</v>
      </c>
      <c r="D720" s="2" t="str">
        <f t="shared" si="10"/>
        <v>Error?</v>
      </c>
    </row>
    <row r="721" spans="1:4" x14ac:dyDescent="0.2">
      <c r="A721" s="5">
        <v>660</v>
      </c>
      <c r="B721" s="138">
        <f>'Expenditures 15-22'!C36</f>
        <v>36132</v>
      </c>
      <c r="D721" s="2" t="str">
        <f t="shared" si="10"/>
        <v>Error?</v>
      </c>
    </row>
    <row r="722" spans="1:4" x14ac:dyDescent="0.2">
      <c r="A722" s="5">
        <v>661</v>
      </c>
      <c r="B722" s="138">
        <f>'Expenditures 15-22'!C37</f>
        <v>51634</v>
      </c>
      <c r="D722" s="2" t="str">
        <f t="shared" si="10"/>
        <v>Error?</v>
      </c>
    </row>
    <row r="723" spans="1:4" x14ac:dyDescent="0.2">
      <c r="A723" s="5">
        <v>662</v>
      </c>
      <c r="B723" s="138">
        <f>'Expenditures 15-22'!C38</f>
        <v>6780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94546</v>
      </c>
      <c r="C727" s="2" t="s">
        <v>573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50047</v>
      </c>
      <c r="D729" s="2" t="str">
        <f t="shared" si="10"/>
        <v>Error?</v>
      </c>
    </row>
    <row r="730" spans="1:4" x14ac:dyDescent="0.2">
      <c r="A730" s="5">
        <v>669</v>
      </c>
      <c r="B730" s="138">
        <f>'Expenditures 15-22'!C46</f>
        <v>0</v>
      </c>
      <c r="D730" s="2" t="str">
        <f t="shared" si="10"/>
        <v>Error?</v>
      </c>
    </row>
    <row r="731" spans="1:4" x14ac:dyDescent="0.2">
      <c r="A731" s="5">
        <v>670</v>
      </c>
      <c r="B731" s="138">
        <f>'Expenditures 15-22'!C47</f>
        <v>50047</v>
      </c>
      <c r="C731" s="2" t="s">
        <v>573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111316</v>
      </c>
      <c r="D733" s="2" t="str">
        <f t="shared" si="10"/>
        <v>Error?</v>
      </c>
    </row>
    <row r="734" spans="1:4" x14ac:dyDescent="0.2">
      <c r="A734" s="5">
        <v>673</v>
      </c>
      <c r="B734" s="138">
        <f>'Expenditures 15-22'!C53</f>
        <v>111316</v>
      </c>
      <c r="C734" s="2" t="s">
        <v>573</v>
      </c>
      <c r="D734" s="2" t="str">
        <f t="shared" si="10"/>
        <v>Error?</v>
      </c>
    </row>
    <row r="735" spans="1:4" x14ac:dyDescent="0.2">
      <c r="A735" s="5">
        <v>674</v>
      </c>
      <c r="B735" s="138">
        <f>'Expenditures 15-22'!C55</f>
        <v>238697</v>
      </c>
      <c r="D735" s="2" t="str">
        <f t="shared" si="10"/>
        <v>Error?</v>
      </c>
    </row>
    <row r="736" spans="1:4" x14ac:dyDescent="0.2">
      <c r="A736" s="5">
        <v>675</v>
      </c>
      <c r="B736" s="138">
        <f>'Expenditures 15-22'!C56</f>
        <v>0</v>
      </c>
      <c r="D736" s="2" t="str">
        <f t="shared" si="10"/>
        <v>Error?</v>
      </c>
    </row>
    <row r="737" spans="1:4" x14ac:dyDescent="0.2">
      <c r="A737" s="5">
        <v>676</v>
      </c>
      <c r="B737" s="138">
        <f>'Expenditures 15-22'!C57</f>
        <v>238697</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51138</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51138</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545744</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1811786</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236715</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26488</v>
      </c>
      <c r="D775" s="2" t="str">
        <f t="shared" si="11"/>
        <v>Error?</v>
      </c>
    </row>
    <row r="776" spans="1:4" x14ac:dyDescent="0.2">
      <c r="A776" s="5">
        <v>715</v>
      </c>
      <c r="B776" s="138">
        <f>'Expenditures 15-22'!D14</f>
        <v>27212</v>
      </c>
      <c r="D776" s="2" t="str">
        <f t="shared" si="11"/>
        <v>Error?</v>
      </c>
    </row>
    <row r="777" spans="1:4" x14ac:dyDescent="0.2">
      <c r="A777" s="5">
        <v>716</v>
      </c>
      <c r="B777" s="138">
        <f>'Expenditures 15-22'!D15</f>
        <v>0</v>
      </c>
      <c r="D777" s="2" t="str">
        <f t="shared" si="11"/>
        <v>Error?</v>
      </c>
    </row>
    <row r="778" spans="1:4" x14ac:dyDescent="0.2">
      <c r="A778" s="5">
        <v>717</v>
      </c>
      <c r="B778" s="138">
        <f>'Expenditures 15-22'!D33</f>
        <v>332146</v>
      </c>
      <c r="C778" s="2" t="s">
        <v>573</v>
      </c>
      <c r="D778" s="2" t="str">
        <f t="shared" si="11"/>
        <v>Error?</v>
      </c>
    </row>
    <row r="779" spans="1:4" x14ac:dyDescent="0.2">
      <c r="A779" s="5">
        <v>718</v>
      </c>
      <c r="B779" s="138">
        <f>'Expenditures 15-22'!D36</f>
        <v>8167</v>
      </c>
      <c r="D779" s="2" t="str">
        <f t="shared" si="11"/>
        <v>Error?</v>
      </c>
    </row>
    <row r="780" spans="1:4" x14ac:dyDescent="0.2">
      <c r="A780" s="5">
        <v>719</v>
      </c>
      <c r="B780" s="138">
        <f>'Expenditures 15-22'!D37</f>
        <v>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2260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10427</v>
      </c>
      <c r="C785" s="2" t="s">
        <v>573</v>
      </c>
      <c r="D785" s="2" t="str">
        <f t="shared" si="11"/>
        <v>Error?</v>
      </c>
    </row>
    <row r="786" spans="1:4" x14ac:dyDescent="0.2">
      <c r="A786" s="5">
        <v>725</v>
      </c>
      <c r="B786" s="138">
        <f>'Expenditures 15-22'!D44</f>
        <v>0</v>
      </c>
      <c r="D786" s="2" t="str">
        <f t="shared" si="11"/>
        <v>Error?</v>
      </c>
    </row>
    <row r="787" spans="1:4" x14ac:dyDescent="0.2">
      <c r="A787" s="5">
        <v>726</v>
      </c>
      <c r="B787" s="138">
        <f>'Expenditures 15-22'!D45</f>
        <v>13543</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13543</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22805</v>
      </c>
      <c r="D791" s="2" t="str">
        <f t="shared" si="11"/>
        <v>Error?</v>
      </c>
    </row>
    <row r="792" spans="1:4" x14ac:dyDescent="0.2">
      <c r="A792" s="5">
        <v>731</v>
      </c>
      <c r="B792" s="138">
        <f>'Expenditures 15-22'!D53</f>
        <v>22805</v>
      </c>
      <c r="C792" s="2" t="s">
        <v>573</v>
      </c>
      <c r="D792" s="2" t="str">
        <f t="shared" si="11"/>
        <v>Error?</v>
      </c>
    </row>
    <row r="793" spans="1:4" x14ac:dyDescent="0.2">
      <c r="A793" s="5">
        <v>732</v>
      </c>
      <c r="B793" s="138">
        <f>'Expenditures 15-22'!D55</f>
        <v>38263</v>
      </c>
      <c r="D793" s="2" t="str">
        <f t="shared" si="11"/>
        <v>Error?</v>
      </c>
    </row>
    <row r="794" spans="1:4" x14ac:dyDescent="0.2">
      <c r="A794" s="5">
        <v>733</v>
      </c>
      <c r="B794" s="138">
        <f>'Expenditures 15-22'!D56</f>
        <v>0</v>
      </c>
      <c r="D794" s="2" t="str">
        <f t="shared" si="11"/>
        <v>Error?</v>
      </c>
    </row>
    <row r="795" spans="1:4" x14ac:dyDescent="0.2">
      <c r="A795" s="5">
        <v>734</v>
      </c>
      <c r="B795" s="138">
        <f>'Expenditures 15-22'!D57</f>
        <v>38263</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6780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6780</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91818</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423964</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38572</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2256</v>
      </c>
      <c r="D833" s="2" t="str">
        <f t="shared" si="12"/>
        <v>Error?</v>
      </c>
    </row>
    <row r="834" spans="1:4" x14ac:dyDescent="0.2">
      <c r="A834" s="5">
        <v>773</v>
      </c>
      <c r="B834" s="138">
        <f>'Expenditures 15-22'!E14</f>
        <v>17523</v>
      </c>
      <c r="D834" s="2" t="str">
        <f t="shared" si="12"/>
        <v>Error?</v>
      </c>
    </row>
    <row r="835" spans="1:4" x14ac:dyDescent="0.2">
      <c r="A835" s="5">
        <v>774</v>
      </c>
      <c r="B835" s="138">
        <f>'Expenditures 15-22'!E15</f>
        <v>0</v>
      </c>
      <c r="D835" s="2" t="str">
        <f t="shared" si="12"/>
        <v>Error?</v>
      </c>
    </row>
    <row r="836" spans="1:4" x14ac:dyDescent="0.2">
      <c r="A836" s="5">
        <v>775</v>
      </c>
      <c r="B836" s="138">
        <f>'Expenditures 15-22'!E33</f>
        <v>71131</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333</v>
      </c>
      <c r="D838" s="2" t="str">
        <f t="shared" si="12"/>
        <v>Error?</v>
      </c>
    </row>
    <row r="839" spans="1:4" x14ac:dyDescent="0.2">
      <c r="A839" s="5">
        <v>778</v>
      </c>
      <c r="B839" s="138">
        <f>'Expenditures 15-22'!E38</f>
        <v>215</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548</v>
      </c>
      <c r="C843" s="2" t="s">
        <v>573</v>
      </c>
      <c r="D843" s="2" t="str">
        <f t="shared" si="12"/>
        <v>Error?</v>
      </c>
    </row>
    <row r="844" spans="1:4" x14ac:dyDescent="0.2">
      <c r="A844" s="5">
        <v>783</v>
      </c>
      <c r="B844" s="138">
        <f>'Expenditures 15-22'!E44</f>
        <v>0</v>
      </c>
      <c r="D844" s="2" t="str">
        <f t="shared" si="12"/>
        <v>Error?</v>
      </c>
    </row>
    <row r="845" spans="1:4" x14ac:dyDescent="0.2">
      <c r="A845" s="5">
        <v>784</v>
      </c>
      <c r="B845" s="138">
        <f>'Expenditures 15-22'!E45</f>
        <v>1754</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1754</v>
      </c>
      <c r="C847" s="2" t="s">
        <v>573</v>
      </c>
      <c r="D847" s="2" t="str">
        <f t="shared" si="12"/>
        <v>Error?</v>
      </c>
    </row>
    <row r="848" spans="1:4" x14ac:dyDescent="0.2">
      <c r="A848" s="5">
        <v>787</v>
      </c>
      <c r="B848" s="138">
        <f>'Expenditures 15-22'!E49</f>
        <v>15328</v>
      </c>
      <c r="D848" s="2" t="str">
        <f t="shared" si="12"/>
        <v>Error?</v>
      </c>
    </row>
    <row r="849" spans="1:4" x14ac:dyDescent="0.2">
      <c r="A849" s="5">
        <v>788</v>
      </c>
      <c r="B849" s="138">
        <f>'Expenditures 15-22'!E50</f>
        <v>5424</v>
      </c>
      <c r="D849" s="2" t="str">
        <f t="shared" si="12"/>
        <v>Error?</v>
      </c>
    </row>
    <row r="850" spans="1:4" x14ac:dyDescent="0.2">
      <c r="A850" s="5">
        <v>789</v>
      </c>
      <c r="B850" s="138">
        <f>'Expenditures 15-22'!E53</f>
        <v>20752</v>
      </c>
      <c r="C850" s="2" t="s">
        <v>573</v>
      </c>
      <c r="D850" s="2" t="str">
        <f t="shared" si="12"/>
        <v>Error?</v>
      </c>
    </row>
    <row r="851" spans="1:4" x14ac:dyDescent="0.2">
      <c r="A851" s="5">
        <v>790</v>
      </c>
      <c r="B851" s="138">
        <f>'Expenditures 15-22'!E55</f>
        <v>4304</v>
      </c>
      <c r="D851" s="2" t="str">
        <f t="shared" si="12"/>
        <v>Error?</v>
      </c>
    </row>
    <row r="852" spans="1:4" x14ac:dyDescent="0.2">
      <c r="A852" s="5">
        <v>791</v>
      </c>
      <c r="B852" s="138">
        <f>'Expenditures 15-22'!E56</f>
        <v>0</v>
      </c>
      <c r="D852" s="2" t="str">
        <f t="shared" si="12"/>
        <v>Error?</v>
      </c>
    </row>
    <row r="853" spans="1:4" x14ac:dyDescent="0.2">
      <c r="A853" s="5">
        <v>792</v>
      </c>
      <c r="B853" s="138">
        <f>'Expenditures 15-22'!E57</f>
        <v>4304</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28039</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84866</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112905</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140263</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274411</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58786</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13276</v>
      </c>
      <c r="D891" s="2" t="str">
        <f t="shared" si="12"/>
        <v>Error?</v>
      </c>
    </row>
    <row r="892" spans="1:4" x14ac:dyDescent="0.2">
      <c r="A892" s="5">
        <v>831</v>
      </c>
      <c r="B892" s="138">
        <f>'Expenditures 15-22'!F14</f>
        <v>20864</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130143</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50</v>
      </c>
      <c r="D896" s="2" t="str">
        <f t="shared" si="13"/>
        <v>Error?</v>
      </c>
    </row>
    <row r="897" spans="1:4" x14ac:dyDescent="0.2">
      <c r="A897" s="5">
        <v>836</v>
      </c>
      <c r="B897" s="138">
        <f>'Expenditures 15-22'!F38</f>
        <v>425</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475</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2841</v>
      </c>
      <c r="D903" s="2" t="str">
        <f t="shared" si="13"/>
        <v>Error?</v>
      </c>
    </row>
    <row r="904" spans="1:4" x14ac:dyDescent="0.2">
      <c r="A904" s="5">
        <v>843</v>
      </c>
      <c r="B904" s="138">
        <f>'Expenditures 15-22'!F46</f>
        <v>0</v>
      </c>
      <c r="D904" s="2" t="str">
        <f t="shared" si="13"/>
        <v>Error?</v>
      </c>
    </row>
    <row r="905" spans="1:4" x14ac:dyDescent="0.2">
      <c r="A905" s="5">
        <v>844</v>
      </c>
      <c r="B905" s="138">
        <f>'Expenditures 15-22'!F47</f>
        <v>2841</v>
      </c>
      <c r="C905" s="2" t="s">
        <v>573</v>
      </c>
      <c r="D905" s="2" t="str">
        <f t="shared" si="13"/>
        <v>Error?</v>
      </c>
    </row>
    <row r="906" spans="1:4" x14ac:dyDescent="0.2">
      <c r="A906" s="5">
        <v>845</v>
      </c>
      <c r="B906" s="138">
        <f>'Expenditures 15-22'!F49</f>
        <v>2931</v>
      </c>
      <c r="D906" s="2" t="str">
        <f t="shared" si="13"/>
        <v>Error?</v>
      </c>
    </row>
    <row r="907" spans="1:4" x14ac:dyDescent="0.2">
      <c r="A907" s="5">
        <v>846</v>
      </c>
      <c r="B907" s="138">
        <f>'Expenditures 15-22'!F50</f>
        <v>3061</v>
      </c>
      <c r="D907" s="2" t="str">
        <f t="shared" si="13"/>
        <v>Error?</v>
      </c>
    </row>
    <row r="908" spans="1:4" x14ac:dyDescent="0.2">
      <c r="A908" s="5">
        <v>847</v>
      </c>
      <c r="B908" s="138">
        <f>'Expenditures 15-22'!F53</f>
        <v>5992</v>
      </c>
      <c r="C908" s="2" t="s">
        <v>573</v>
      </c>
      <c r="D908" s="2" t="str">
        <f t="shared" si="13"/>
        <v>Error?</v>
      </c>
    </row>
    <row r="909" spans="1:4" x14ac:dyDescent="0.2">
      <c r="A909" s="5">
        <v>848</v>
      </c>
      <c r="B909" s="138">
        <f>'Expenditures 15-22'!F55</f>
        <v>116</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116</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1174</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83</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1257</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10681</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140824</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2975</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4456</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4456</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19031</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19031</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0</v>
      </c>
      <c r="C1024" s="2" t="s">
        <v>573</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0</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14</v>
      </c>
      <c r="D1051" s="2" t="str">
        <f t="shared" si="15"/>
        <v>Error?</v>
      </c>
    </row>
    <row r="1052" spans="1:4" x14ac:dyDescent="0.2">
      <c r="A1052" s="10">
        <v>991</v>
      </c>
      <c r="D1052" s="2" t="str">
        <f t="shared" si="15"/>
        <v>OK</v>
      </c>
    </row>
    <row r="1053" spans="1:4" x14ac:dyDescent="0.2">
      <c r="A1053" s="5">
        <v>992</v>
      </c>
      <c r="B1053" s="138">
        <f>'Expenditures 15-22'!H110</f>
        <v>14</v>
      </c>
      <c r="C1053" s="2" t="s">
        <v>573</v>
      </c>
      <c r="D1053" s="2" t="str">
        <f t="shared" si="15"/>
        <v>Error?</v>
      </c>
    </row>
    <row r="1054" spans="1:4" x14ac:dyDescent="0.2">
      <c r="A1054" s="5">
        <v>993</v>
      </c>
      <c r="B1054" s="138">
        <f>'Expenditures 15-22'!H114</f>
        <v>19045</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1258541</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140181</v>
      </c>
      <c r="C1105" s="2" t="s">
        <v>573</v>
      </c>
      <c r="D1105" s="2" t="str">
        <f t="shared" si="16"/>
        <v>Error?</v>
      </c>
    </row>
    <row r="1106" spans="1:4" x14ac:dyDescent="0.2">
      <c r="A1106" s="5">
        <v>1045</v>
      </c>
      <c r="B1106" s="138">
        <f>'Expenditures 15-22'!K14</f>
        <v>182237</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1822949</v>
      </c>
      <c r="C1108" s="2" t="s">
        <v>573</v>
      </c>
      <c r="D1108" s="2" t="str">
        <f t="shared" si="16"/>
        <v>Error?</v>
      </c>
    </row>
    <row r="1109" spans="1:4" x14ac:dyDescent="0.2">
      <c r="A1109" s="5">
        <v>1048</v>
      </c>
      <c r="B1109" s="138">
        <f>'Expenditures 15-22'!K36</f>
        <v>44299</v>
      </c>
      <c r="C1109" s="2" t="s">
        <v>573</v>
      </c>
      <c r="D1109" s="2" t="str">
        <f t="shared" si="16"/>
        <v>Error?</v>
      </c>
    </row>
    <row r="1110" spans="1:4" x14ac:dyDescent="0.2">
      <c r="A1110" s="5">
        <v>1049</v>
      </c>
      <c r="B1110" s="138">
        <f>'Expenditures 15-22'!K37</f>
        <v>52017</v>
      </c>
      <c r="C1110" s="2" t="s">
        <v>573</v>
      </c>
      <c r="D1110" s="2" t="str">
        <f t="shared" si="16"/>
        <v>Error?</v>
      </c>
    </row>
    <row r="1111" spans="1:4" x14ac:dyDescent="0.2">
      <c r="A1111" s="5">
        <v>1050</v>
      </c>
      <c r="B1111" s="138">
        <f>'Expenditures 15-22'!K38</f>
        <v>7420</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2260</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105996</v>
      </c>
      <c r="C1115" s="2" t="s">
        <v>573</v>
      </c>
      <c r="D1115" s="2" t="str">
        <f t="shared" si="16"/>
        <v>Error?</v>
      </c>
    </row>
    <row r="1116" spans="1:4" x14ac:dyDescent="0.2">
      <c r="A1116" s="5">
        <v>1055</v>
      </c>
      <c r="B1116" s="138">
        <f>'Expenditures 15-22'!K44</f>
        <v>0</v>
      </c>
      <c r="C1116" s="2" t="s">
        <v>573</v>
      </c>
      <c r="D1116" s="2" t="str">
        <f t="shared" si="16"/>
        <v>Error?</v>
      </c>
    </row>
    <row r="1117" spans="1:4" x14ac:dyDescent="0.2">
      <c r="A1117" s="5">
        <v>1056</v>
      </c>
      <c r="B1117" s="138">
        <f>'Expenditures 15-22'!K45</f>
        <v>68185</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68185</v>
      </c>
      <c r="C1119" s="2" t="s">
        <v>573</v>
      </c>
      <c r="D1119" s="2" t="str">
        <f t="shared" si="16"/>
        <v>Error?</v>
      </c>
    </row>
    <row r="1120" spans="1:4" x14ac:dyDescent="0.2">
      <c r="A1120" s="5">
        <v>1059</v>
      </c>
      <c r="B1120" s="138">
        <f>'Expenditures 15-22'!K49</f>
        <v>18259</v>
      </c>
      <c r="C1120" s="2" t="s">
        <v>573</v>
      </c>
      <c r="D1120" s="2" t="str">
        <f t="shared" si="16"/>
        <v>Error?</v>
      </c>
    </row>
    <row r="1121" spans="1:4" x14ac:dyDescent="0.2">
      <c r="A1121" s="5">
        <v>1060</v>
      </c>
      <c r="B1121" s="138">
        <f>'Expenditures 15-22'!K50</f>
        <v>142606</v>
      </c>
      <c r="C1121" s="2" t="s">
        <v>573</v>
      </c>
      <c r="D1121" s="2" t="str">
        <f t="shared" si="16"/>
        <v>Error?</v>
      </c>
    </row>
    <row r="1122" spans="1:4" x14ac:dyDescent="0.2">
      <c r="A1122" s="5">
        <v>1061</v>
      </c>
      <c r="B1122" s="138">
        <f>'Expenditures 15-22'!K53</f>
        <v>160865</v>
      </c>
      <c r="C1122" s="2" t="s">
        <v>573</v>
      </c>
      <c r="D1122" s="2" t="str">
        <f t="shared" si="16"/>
        <v>Error?</v>
      </c>
    </row>
    <row r="1123" spans="1:4" x14ac:dyDescent="0.2">
      <c r="A1123" s="5">
        <v>1062</v>
      </c>
      <c r="B1123" s="138">
        <f>'Expenditures 15-22'!K55</f>
        <v>281380</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281380</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87131</v>
      </c>
      <c r="C1127" s="2" t="s">
        <v>573</v>
      </c>
      <c r="D1127" s="2" t="str">
        <f t="shared" si="16"/>
        <v>Error?</v>
      </c>
    </row>
    <row r="1128" spans="1:4" x14ac:dyDescent="0.2">
      <c r="A1128" s="5">
        <v>1067</v>
      </c>
      <c r="B1128" s="138">
        <f>'Expenditures 15-22'!K61</f>
        <v>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84949</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172080</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788506</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63017</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14</v>
      </c>
      <c r="C1149" s="2" t="s">
        <v>573</v>
      </c>
      <c r="D1149" s="2" t="str">
        <f t="shared" si="16"/>
        <v>Error?</v>
      </c>
    </row>
    <row r="1150" spans="1:4" x14ac:dyDescent="0.2">
      <c r="A1150" s="10">
        <v>1089</v>
      </c>
      <c r="D1150" s="2" t="str">
        <f t="shared" si="16"/>
        <v>OK</v>
      </c>
    </row>
    <row r="1151" spans="1:4" x14ac:dyDescent="0.2">
      <c r="A1151" s="5">
        <v>1090</v>
      </c>
      <c r="B1151" s="138">
        <f>'Expenditures 15-22'!K110</f>
        <v>14</v>
      </c>
      <c r="C1151" s="2" t="s">
        <v>573</v>
      </c>
      <c r="D1151" s="2" t="str">
        <f t="shared" ref="D1151:D1214" si="17">IF(ISBLANK(B1151),"OK",IF(A1151-B1151=0,"OK","Error?"))</f>
        <v>Error?</v>
      </c>
    </row>
    <row r="1152" spans="1:4" x14ac:dyDescent="0.2">
      <c r="A1152" s="5">
        <v>1091</v>
      </c>
      <c r="B1152" s="138">
        <f>'Expenditures 15-22'!K114</f>
        <v>2674486</v>
      </c>
      <c r="C1152" s="2" t="s">
        <v>573</v>
      </c>
      <c r="D1152" s="2" t="str">
        <f t="shared" si="17"/>
        <v>Error?</v>
      </c>
    </row>
    <row r="1153" spans="1:4" x14ac:dyDescent="0.2">
      <c r="A1153" s="5">
        <v>1092</v>
      </c>
      <c r="B1153" s="138">
        <f>'Expenditures 15-22'!K115</f>
        <v>192829</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122542</v>
      </c>
      <c r="D1221" s="2" t="str">
        <f t="shared" si="18"/>
        <v>Error?</v>
      </c>
    </row>
    <row r="1222" spans="1:4" x14ac:dyDescent="0.2">
      <c r="A1222" s="10">
        <v>1161</v>
      </c>
      <c r="D1222" s="2" t="str">
        <f t="shared" si="18"/>
        <v>OK</v>
      </c>
    </row>
    <row r="1223" spans="1:4" x14ac:dyDescent="0.2">
      <c r="A1223" s="5">
        <v>1162</v>
      </c>
      <c r="B1223" s="138">
        <f>'Expenditures 15-22'!C127</f>
        <v>122542</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122542</v>
      </c>
      <c r="C1225" s="2" t="s">
        <v>573</v>
      </c>
      <c r="D1225" s="2" t="str">
        <f t="shared" si="18"/>
        <v>Error?</v>
      </c>
    </row>
    <row r="1226" spans="1:4" x14ac:dyDescent="0.2">
      <c r="A1226" s="5">
        <v>1165</v>
      </c>
      <c r="B1226" s="138">
        <f>'Expenditures 15-22'!C151</f>
        <v>122542</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12995</v>
      </c>
      <c r="D1229" s="2" t="str">
        <f t="shared" si="18"/>
        <v>Error?</v>
      </c>
    </row>
    <row r="1230" spans="1:4" x14ac:dyDescent="0.2">
      <c r="A1230" s="10">
        <v>1169</v>
      </c>
      <c r="D1230" s="2" t="str">
        <f t="shared" si="18"/>
        <v>OK</v>
      </c>
    </row>
    <row r="1231" spans="1:4" x14ac:dyDescent="0.2">
      <c r="A1231" s="5">
        <v>1170</v>
      </c>
      <c r="B1231" s="138">
        <f>'Expenditures 15-22'!D127</f>
        <v>12995</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12995</v>
      </c>
      <c r="C1233" s="2" t="s">
        <v>573</v>
      </c>
      <c r="D1233" s="2" t="str">
        <f t="shared" si="18"/>
        <v>Error?</v>
      </c>
    </row>
    <row r="1234" spans="1:4" x14ac:dyDescent="0.2">
      <c r="A1234" s="5">
        <v>1173</v>
      </c>
      <c r="B1234" s="138">
        <f>'Expenditures 15-22'!D151</f>
        <v>12995</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99965</v>
      </c>
      <c r="D1237" s="2" t="str">
        <f t="shared" si="18"/>
        <v>Error?</v>
      </c>
    </row>
    <row r="1238" spans="1:4" x14ac:dyDescent="0.2">
      <c r="A1238" s="10">
        <v>1177</v>
      </c>
      <c r="D1238" s="2" t="str">
        <f t="shared" si="18"/>
        <v>OK</v>
      </c>
    </row>
    <row r="1239" spans="1:4" x14ac:dyDescent="0.2">
      <c r="A1239" s="5">
        <v>1178</v>
      </c>
      <c r="B1239" s="138">
        <f>'Expenditures 15-22'!E127</f>
        <v>99965</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99965</v>
      </c>
      <c r="C1241" s="2" t="s">
        <v>573</v>
      </c>
      <c r="D1241" s="2" t="str">
        <f t="shared" si="18"/>
        <v>Error?</v>
      </c>
    </row>
    <row r="1242" spans="1:4" x14ac:dyDescent="0.2">
      <c r="A1242" s="5">
        <v>1181</v>
      </c>
      <c r="B1242" s="138">
        <f>'Expenditures 15-22'!E151</f>
        <v>99965</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43866</v>
      </c>
      <c r="D1245" s="2" t="str">
        <f t="shared" si="18"/>
        <v>Error?</v>
      </c>
    </row>
    <row r="1246" spans="1:4" x14ac:dyDescent="0.2">
      <c r="A1246" s="10">
        <v>1185</v>
      </c>
      <c r="D1246" s="2" t="str">
        <f t="shared" si="18"/>
        <v>OK</v>
      </c>
    </row>
    <row r="1247" spans="1:4" x14ac:dyDescent="0.2">
      <c r="A1247" s="5">
        <v>1186</v>
      </c>
      <c r="B1247" s="138">
        <f>'Expenditures 15-22'!F127</f>
        <v>43866</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43866</v>
      </c>
      <c r="C1249" s="2" t="s">
        <v>573</v>
      </c>
      <c r="D1249" s="2" t="str">
        <f t="shared" si="18"/>
        <v>Error?</v>
      </c>
    </row>
    <row r="1250" spans="1:4" x14ac:dyDescent="0.2">
      <c r="A1250" s="5">
        <v>1189</v>
      </c>
      <c r="B1250" s="138">
        <f>'Expenditures 15-22'!F151</f>
        <v>43866</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573</v>
      </c>
      <c r="D1258" s="2" t="str">
        <f t="shared" si="18"/>
        <v>Error?</v>
      </c>
    </row>
    <row r="1259" spans="1:4" x14ac:dyDescent="0.2">
      <c r="A1259" s="5">
        <v>1198</v>
      </c>
      <c r="B1259" s="138">
        <f>'Expenditures 15-22'!G151</f>
        <v>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279368</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279368</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279368</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279368</v>
      </c>
      <c r="C1288" s="2" t="s">
        <v>573</v>
      </c>
      <c r="D1288" s="2" t="str">
        <f t="shared" si="19"/>
        <v>Error?</v>
      </c>
    </row>
    <row r="1289" spans="1:4" x14ac:dyDescent="0.2">
      <c r="A1289" s="5">
        <v>1228</v>
      </c>
      <c r="B1289" s="138">
        <f>'Expenditures 15-22'!K152</f>
        <v>49186</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181854</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245000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426854</v>
      </c>
      <c r="C1317" s="2" t="s">
        <v>573</v>
      </c>
      <c r="D1317" s="2" t="str">
        <f t="shared" si="19"/>
        <v>Error?</v>
      </c>
    </row>
    <row r="1318" spans="1:4" x14ac:dyDescent="0.2">
      <c r="A1318" s="5">
        <v>1257</v>
      </c>
      <c r="B1318" s="138">
        <f>'Expenditures 15-22'!H174</f>
        <v>426854</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181854</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245000</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426854</v>
      </c>
      <c r="C1331" s="2" t="s">
        <v>573</v>
      </c>
      <c r="D1331" s="2" t="str">
        <f t="shared" si="19"/>
        <v>Error?</v>
      </c>
    </row>
    <row r="1332" spans="1:4" x14ac:dyDescent="0.2">
      <c r="A1332" s="5">
        <v>1271</v>
      </c>
      <c r="B1332" s="138">
        <f>'Expenditures 15-22'!K174</f>
        <v>426854</v>
      </c>
      <c r="C1332" s="2" t="s">
        <v>573</v>
      </c>
      <c r="D1332" s="2" t="str">
        <f t="shared" si="19"/>
        <v>Error?</v>
      </c>
    </row>
    <row r="1333" spans="1:4" x14ac:dyDescent="0.2">
      <c r="A1333" s="5">
        <v>1272</v>
      </c>
      <c r="B1333" s="138">
        <f>'Expenditures 15-22'!K175</f>
        <v>-60680</v>
      </c>
      <c r="C1333" s="2" t="s">
        <v>573</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573</v>
      </c>
      <c r="D1339" s="2" t="str">
        <f t="shared" si="19"/>
        <v>Error?</v>
      </c>
    </row>
    <row r="1340" spans="1:4" x14ac:dyDescent="0.2">
      <c r="A1340" s="5">
        <v>1279</v>
      </c>
      <c r="B1340" s="138">
        <f>'Expenditures 15-22'!C210</f>
        <v>0</v>
      </c>
      <c r="C1340" s="2" t="s">
        <v>573</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573</v>
      </c>
      <c r="D1345" s="2" t="str">
        <f t="shared" si="20"/>
        <v>Error?</v>
      </c>
    </row>
    <row r="1346" spans="1:4" x14ac:dyDescent="0.2">
      <c r="A1346" s="5">
        <v>1285</v>
      </c>
      <c r="B1346" s="138">
        <f>'Expenditures 15-22'!D210</f>
        <v>0</v>
      </c>
      <c r="C1346" s="2" t="s">
        <v>573</v>
      </c>
      <c r="D1346" s="2" t="str">
        <f t="shared" si="20"/>
        <v>Error?</v>
      </c>
    </row>
    <row r="1347" spans="1:4" x14ac:dyDescent="0.2">
      <c r="A1347" s="5">
        <v>1286</v>
      </c>
      <c r="B1347" s="138">
        <f>'Expenditures 15-22'!E182</f>
        <v>296270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296270</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296270</v>
      </c>
      <c r="C1353" s="2" t="s">
        <v>573</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573</v>
      </c>
      <c r="D1358" s="2" t="str">
        <f t="shared" si="20"/>
        <v>Error?</v>
      </c>
    </row>
    <row r="1359" spans="1:4" x14ac:dyDescent="0.2">
      <c r="A1359" s="5">
        <v>1298</v>
      </c>
      <c r="B1359" s="138">
        <f>'Expenditures 15-22'!F210</f>
        <v>0</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296270</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296270</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296270</v>
      </c>
      <c r="C1388" s="2" t="s">
        <v>573</v>
      </c>
      <c r="D1388" s="2" t="str">
        <f t="shared" si="20"/>
        <v>Error?</v>
      </c>
    </row>
    <row r="1389" spans="1:4" x14ac:dyDescent="0.2">
      <c r="A1389" s="5">
        <v>1328</v>
      </c>
      <c r="B1389" s="138">
        <f>'Expenditures 15-22'!K211</f>
        <v>-68734</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1435</v>
      </c>
      <c r="D1407" s="2" t="str">
        <f t="shared" ref="D1407:D1470" si="21">IF(ISBLANK(B1407),"OK",IF(A1407-B1407=0,"OK","Error?"))</f>
        <v>Error?</v>
      </c>
    </row>
    <row r="1408" spans="1:4" x14ac:dyDescent="0.2">
      <c r="A1408" s="5">
        <v>1347</v>
      </c>
      <c r="B1408" s="138">
        <f>'Expenditures 15-22'!D223</f>
        <v>2133</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27619</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739</v>
      </c>
      <c r="D1412" s="2" t="str">
        <f t="shared" si="21"/>
        <v>Error?</v>
      </c>
    </row>
    <row r="1413" spans="1:4" x14ac:dyDescent="0.2">
      <c r="A1413" s="5">
        <v>1352</v>
      </c>
      <c r="B1413" s="138">
        <f>'Expenditures 15-22'!D234</f>
        <v>2832</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3571</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725</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725</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1754</v>
      </c>
      <c r="D1423" s="2" t="str">
        <f t="shared" si="21"/>
        <v>Error?</v>
      </c>
    </row>
    <row r="1424" spans="1:4" x14ac:dyDescent="0.2">
      <c r="A1424" s="5">
        <v>1363</v>
      </c>
      <c r="B1424" s="138">
        <f>'Expenditures 15-22'!D257</f>
        <v>1754</v>
      </c>
      <c r="C1424" s="2" t="s">
        <v>573</v>
      </c>
      <c r="D1424" s="2" t="str">
        <f t="shared" si="21"/>
        <v>Error?</v>
      </c>
    </row>
    <row r="1425" spans="1:4" x14ac:dyDescent="0.2">
      <c r="A1425" s="5">
        <v>1364</v>
      </c>
      <c r="B1425" s="138">
        <f>'Expenditures 15-22'!D259</f>
        <v>11618</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11618</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6115</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16086</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22201</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39869</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67488</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1435</v>
      </c>
      <c r="C1471" s="2" t="s">
        <v>573</v>
      </c>
      <c r="D1471" s="2" t="str">
        <f t="shared" ref="D1471:D1534" si="22">IF(ISBLANK(B1471),"OK",IF(A1471-B1471=0,"OK","Error?"))</f>
        <v>Error?</v>
      </c>
    </row>
    <row r="1472" spans="1:4" x14ac:dyDescent="0.2">
      <c r="A1472" s="5">
        <v>1411</v>
      </c>
      <c r="B1472" s="138">
        <f>'Expenditures 15-22'!K223</f>
        <v>2133</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27619</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739</v>
      </c>
      <c r="C1476" s="2" t="s">
        <v>573</v>
      </c>
      <c r="D1476" s="2" t="str">
        <f t="shared" si="22"/>
        <v>Error?</v>
      </c>
    </row>
    <row r="1477" spans="1:4" x14ac:dyDescent="0.2">
      <c r="A1477" s="5">
        <v>1416</v>
      </c>
      <c r="B1477" s="138">
        <f>'Expenditures 15-22'!K234</f>
        <v>2832</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3571</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725</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725</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1754</v>
      </c>
      <c r="C1487" s="2" t="s">
        <v>573</v>
      </c>
      <c r="D1487" s="2" t="str">
        <f t="shared" si="22"/>
        <v>Error?</v>
      </c>
    </row>
    <row r="1488" spans="1:4" x14ac:dyDescent="0.2">
      <c r="A1488" s="5">
        <v>1427</v>
      </c>
      <c r="B1488" s="138">
        <f>'Expenditures 15-22'!K257</f>
        <v>1754</v>
      </c>
      <c r="C1488" s="2" t="s">
        <v>573</v>
      </c>
      <c r="D1488" s="2" t="str">
        <f t="shared" si="22"/>
        <v>Error?</v>
      </c>
    </row>
    <row r="1489" spans="1:4" x14ac:dyDescent="0.2">
      <c r="A1489" s="5">
        <v>1428</v>
      </c>
      <c r="B1489" s="138">
        <f>'Expenditures 15-22'!K259</f>
        <v>11618</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11618</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6115</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16086</v>
      </c>
      <c r="C1495" s="2" t="s">
        <v>573</v>
      </c>
      <c r="D1495" s="2" t="str">
        <f t="shared" si="22"/>
        <v>Error?</v>
      </c>
    </row>
    <row r="1496" spans="1:4" x14ac:dyDescent="0.2">
      <c r="A1496" s="5">
        <v>1435</v>
      </c>
      <c r="B1496" s="138">
        <f>'Expenditures 15-22'!K267</f>
        <v>0</v>
      </c>
      <c r="C1496" s="2" t="s">
        <v>573</v>
      </c>
      <c r="D1496" s="2" t="str">
        <f t="shared" si="22"/>
        <v>Error?</v>
      </c>
    </row>
    <row r="1497" spans="1:4" x14ac:dyDescent="0.2">
      <c r="A1497" s="5">
        <v>1436</v>
      </c>
      <c r="B1497" s="138">
        <f>'Expenditures 15-22'!K268</f>
        <v>0</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22201</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39869</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67488</v>
      </c>
      <c r="C1517" s="2" t="s">
        <v>573</v>
      </c>
      <c r="D1517" s="2" t="str">
        <f t="shared" si="22"/>
        <v>Error?</v>
      </c>
    </row>
    <row r="1518" spans="1:4" x14ac:dyDescent="0.2">
      <c r="A1518" s="5">
        <v>1457</v>
      </c>
      <c r="B1518" s="138">
        <f>'Expenditures 15-22'!K296</f>
        <v>-18655</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148295</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148295</v>
      </c>
      <c r="C1547" s="2" t="s">
        <v>573</v>
      </c>
      <c r="D1547" s="2" t="str">
        <f t="shared" si="23"/>
        <v>Error?</v>
      </c>
    </row>
    <row r="1548" spans="1:4" x14ac:dyDescent="0.2">
      <c r="A1548" s="5">
        <v>1487</v>
      </c>
      <c r="B1548" s="138">
        <f>'Expenditures 15-22'!G312</f>
        <v>148295</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148295</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148295</v>
      </c>
      <c r="C1559" s="2" t="s">
        <v>573</v>
      </c>
      <c r="D1559" s="2" t="str">
        <f t="shared" si="23"/>
        <v>Error?</v>
      </c>
    </row>
    <row r="1560" spans="1:4" x14ac:dyDescent="0.2">
      <c r="A1560" s="5">
        <v>1499</v>
      </c>
      <c r="B1560" s="138">
        <f>'Expenditures 15-22'!K312</f>
        <v>148295</v>
      </c>
      <c r="C1560" s="2" t="s">
        <v>573</v>
      </c>
      <c r="D1560" s="2" t="str">
        <f t="shared" si="23"/>
        <v>Error?</v>
      </c>
    </row>
    <row r="1561" spans="1:4" x14ac:dyDescent="0.2">
      <c r="A1561" s="5">
        <v>1500</v>
      </c>
      <c r="B1561" s="138">
        <f>'Expenditures 15-22'!K313</f>
        <v>-47883</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562892</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755721</v>
      </c>
      <c r="C1630" s="2" t="s">
        <v>573</v>
      </c>
      <c r="D1630" s="2" t="str">
        <f t="shared" si="24"/>
        <v>Error?</v>
      </c>
    </row>
    <row r="1631" spans="1:4" x14ac:dyDescent="0.2">
      <c r="A1631" s="5">
        <v>1570</v>
      </c>
      <c r="B1631" s="138">
        <f>'Acct Summary 7-8'!D79</f>
        <v>155077</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204263</v>
      </c>
      <c r="C1644" s="2" t="s">
        <v>573</v>
      </c>
      <c r="D1644" s="2" t="str">
        <f t="shared" si="24"/>
        <v>Error?</v>
      </c>
    </row>
    <row r="1645" spans="1:4" x14ac:dyDescent="0.2">
      <c r="A1645" s="5">
        <v>1584</v>
      </c>
      <c r="B1645" s="138">
        <f>'Acct Summary 7-8'!E79</f>
        <v>64560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3880</v>
      </c>
      <c r="C1658" s="2" t="s">
        <v>573</v>
      </c>
      <c r="D1658" s="2" t="str">
        <f t="shared" si="24"/>
        <v>Error?</v>
      </c>
    </row>
    <row r="1659" spans="1:4" x14ac:dyDescent="0.2">
      <c r="A1659" s="5">
        <v>1598</v>
      </c>
      <c r="B1659" s="138">
        <f>'Acct Summary 7-8'!F79</f>
        <v>72517</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63783</v>
      </c>
      <c r="C1672" s="2" t="s">
        <v>573</v>
      </c>
      <c r="D1672" s="2" t="str">
        <f t="shared" si="25"/>
        <v>Error?</v>
      </c>
    </row>
    <row r="1673" spans="1:4" x14ac:dyDescent="0.2">
      <c r="A1673" s="5">
        <v>1612</v>
      </c>
      <c r="B1673" s="138">
        <f>'Acct Summary 7-8'!G79</f>
        <v>160478</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141823</v>
      </c>
      <c r="C1686" s="2" t="s">
        <v>573</v>
      </c>
      <c r="D1686" s="2" t="str">
        <f t="shared" si="25"/>
        <v>Error?</v>
      </c>
    </row>
    <row r="1687" spans="1:4" x14ac:dyDescent="0.2">
      <c r="A1687" s="5">
        <v>1626</v>
      </c>
      <c r="B1687" s="138">
        <f>'Acct Summary 7-8'!H79</f>
        <v>96113</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48230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1873227</v>
      </c>
      <c r="C1744" s="2" t="s">
        <v>573</v>
      </c>
      <c r="D1744" s="2" t="str">
        <f t="shared" si="26"/>
        <v>Error?</v>
      </c>
    </row>
    <row r="1745" spans="1:5" x14ac:dyDescent="0.2">
      <c r="A1745" s="5">
        <v>1684</v>
      </c>
      <c r="B1745" s="138">
        <f>'Tax Sched 23'!B5</f>
        <v>319275</v>
      </c>
      <c r="C1745" s="2" t="s">
        <v>573</v>
      </c>
      <c r="D1745" s="2" t="str">
        <f t="shared" si="26"/>
        <v>Error?</v>
      </c>
    </row>
    <row r="1746" spans="1:5" x14ac:dyDescent="0.2">
      <c r="A1746" s="5">
        <v>1685</v>
      </c>
      <c r="B1746" s="138">
        <f>'Tax Sched 23'!B6</f>
        <v>366169</v>
      </c>
      <c r="C1746" s="2" t="s">
        <v>573</v>
      </c>
      <c r="D1746" s="2" t="str">
        <f t="shared" si="26"/>
        <v>Error?</v>
      </c>
    </row>
    <row r="1747" spans="1:5" x14ac:dyDescent="0.2">
      <c r="A1747" s="5">
        <v>1686</v>
      </c>
      <c r="B1747" s="138">
        <f>'Tax Sched 23'!B7</f>
        <v>121632</v>
      </c>
      <c r="C1747" s="2" t="s">
        <v>573</v>
      </c>
      <c r="D1747" s="2" t="str">
        <f t="shared" si="26"/>
        <v>Error?</v>
      </c>
    </row>
    <row r="1748" spans="1:5" x14ac:dyDescent="0.2">
      <c r="A1748" s="5">
        <v>1687</v>
      </c>
      <c r="B1748" s="138">
        <f>'Tax Sched 23'!B8</f>
        <v>23478</v>
      </c>
      <c r="C1748" s="2" t="s">
        <v>573</v>
      </c>
      <c r="D1748" s="2" t="str">
        <f t="shared" si="26"/>
        <v>Error?</v>
      </c>
    </row>
    <row r="1749" spans="1:5" x14ac:dyDescent="0.2">
      <c r="A1749" s="5">
        <v>1688</v>
      </c>
      <c r="B1749" s="138">
        <f>'Tax Sched 23'!B10</f>
        <v>30408</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231587</v>
      </c>
      <c r="C1752" s="2" t="s">
        <v>573</v>
      </c>
      <c r="D1752" s="2" t="str">
        <f t="shared" si="26"/>
        <v>Error?</v>
      </c>
    </row>
    <row r="1753" spans="1:5" x14ac:dyDescent="0.2">
      <c r="A1753" s="5">
        <v>1692</v>
      </c>
      <c r="B1753" s="138">
        <f>'Tax Sched 23'!B12</f>
        <v>30408</v>
      </c>
      <c r="C1753" s="2" t="s">
        <v>573</v>
      </c>
      <c r="D1753" s="2" t="str">
        <f t="shared" si="26"/>
        <v>Error?</v>
      </c>
    </row>
    <row r="1754" spans="1:5" x14ac:dyDescent="0.2">
      <c r="A1754" s="5">
        <v>1693</v>
      </c>
      <c r="B1754" s="138">
        <f>'Tax Sched 23'!B14</f>
        <v>24325</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3068941</v>
      </c>
      <c r="C1759" s="2" t="s">
        <v>573</v>
      </c>
      <c r="D1759" s="2" t="str">
        <f t="shared" si="26"/>
        <v>Error?</v>
      </c>
    </row>
    <row r="1760" spans="1:5" x14ac:dyDescent="0.2">
      <c r="A1760" s="5">
        <v>1699</v>
      </c>
      <c r="B1760" s="138">
        <f>'Tax Sched 23'!D4</f>
        <v>1813469</v>
      </c>
      <c r="C1760" s="2" t="s">
        <v>573</v>
      </c>
      <c r="D1760" s="2" t="str">
        <f t="shared" si="26"/>
        <v>Error?</v>
      </c>
    </row>
    <row r="1761" spans="1:5" x14ac:dyDescent="0.2">
      <c r="A1761" s="5">
        <v>1700</v>
      </c>
      <c r="B1761" s="138">
        <f>'Tax Sched 23'!D5</f>
        <v>309089</v>
      </c>
      <c r="C1761" s="2" t="s">
        <v>573</v>
      </c>
      <c r="D1761" s="2" t="str">
        <f t="shared" si="26"/>
        <v>Error?</v>
      </c>
    </row>
    <row r="1762" spans="1:5" s="8" customFormat="1" x14ac:dyDescent="0.2">
      <c r="A1762" s="5">
        <v>1701</v>
      </c>
      <c r="B1762" s="138">
        <f>'Tax Sched 23'!D6</f>
        <v>354864</v>
      </c>
      <c r="C1762" s="2" t="s">
        <v>573</v>
      </c>
      <c r="D1762" s="2" t="str">
        <f t="shared" si="26"/>
        <v>Error?</v>
      </c>
      <c r="E1762" s="9"/>
    </row>
    <row r="1763" spans="1:5" x14ac:dyDescent="0.2">
      <c r="A1763" s="5">
        <v>1702</v>
      </c>
      <c r="B1763" s="138">
        <f>'Tax Sched 23'!D7</f>
        <v>117752</v>
      </c>
      <c r="C1763" s="2" t="s">
        <v>573</v>
      </c>
      <c r="D1763" s="2" t="str">
        <f t="shared" si="26"/>
        <v>Error?</v>
      </c>
    </row>
    <row r="1764" spans="1:5" x14ac:dyDescent="0.2">
      <c r="A1764" s="5">
        <v>1703</v>
      </c>
      <c r="B1764" s="138">
        <f>'Tax Sched 23'!D8</f>
        <v>22892</v>
      </c>
      <c r="C1764" s="2" t="s">
        <v>573</v>
      </c>
      <c r="D1764" s="2" t="str">
        <f t="shared" si="26"/>
        <v>Error?</v>
      </c>
    </row>
    <row r="1765" spans="1:5" x14ac:dyDescent="0.2">
      <c r="A1765" s="5">
        <v>1704</v>
      </c>
      <c r="B1765" s="138">
        <f>'Tax Sched 23'!D10</f>
        <v>29438</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224276</v>
      </c>
      <c r="C1768" s="2" t="s">
        <v>573</v>
      </c>
      <c r="D1768" s="2" t="str">
        <f t="shared" si="26"/>
        <v>Error?</v>
      </c>
    </row>
    <row r="1769" spans="1:5" x14ac:dyDescent="0.2">
      <c r="A1769" s="5">
        <v>1708</v>
      </c>
      <c r="B1769" s="138">
        <f>'Tax Sched 23'!D12</f>
        <v>29438</v>
      </c>
      <c r="C1769" s="2" t="s">
        <v>573</v>
      </c>
      <c r="D1769" s="2" t="str">
        <f t="shared" si="26"/>
        <v>Error?</v>
      </c>
    </row>
    <row r="1770" spans="1:5" x14ac:dyDescent="0.2">
      <c r="A1770" s="5">
        <v>1709</v>
      </c>
      <c r="B1770" s="138">
        <f>'Tax Sched 23'!D14</f>
        <v>23549</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2971643</v>
      </c>
      <c r="C1775" s="2" t="s">
        <v>573</v>
      </c>
      <c r="D1775" s="2" t="str">
        <f t="shared" si="26"/>
        <v>Error?</v>
      </c>
    </row>
    <row r="1776" spans="1:5" x14ac:dyDescent="0.2">
      <c r="A1776" s="5">
        <v>1715</v>
      </c>
      <c r="B1776" s="138">
        <f>'Tax Sched 23'!C4</f>
        <v>59758</v>
      </c>
      <c r="D1776" s="2" t="str">
        <f t="shared" si="26"/>
        <v>Error?</v>
      </c>
    </row>
    <row r="1777" spans="1:4" x14ac:dyDescent="0.2">
      <c r="A1777" s="5">
        <v>1716</v>
      </c>
      <c r="B1777" s="138">
        <f>'Tax Sched 23'!C5</f>
        <v>10186</v>
      </c>
      <c r="D1777" s="2" t="str">
        <f t="shared" si="26"/>
        <v>Error?</v>
      </c>
    </row>
    <row r="1778" spans="1:4" x14ac:dyDescent="0.2">
      <c r="A1778" s="5">
        <v>1717</v>
      </c>
      <c r="B1778" s="138">
        <f>'Tax Sched 23'!C6</f>
        <v>11305</v>
      </c>
      <c r="D1778" s="2" t="str">
        <f t="shared" si="26"/>
        <v>Error?</v>
      </c>
    </row>
    <row r="1779" spans="1:4" x14ac:dyDescent="0.2">
      <c r="A1779" s="5">
        <v>1718</v>
      </c>
      <c r="B1779" s="138">
        <f>'Tax Sched 23'!C7</f>
        <v>3880</v>
      </c>
      <c r="D1779" s="2" t="str">
        <f t="shared" si="26"/>
        <v>Error?</v>
      </c>
    </row>
    <row r="1780" spans="1:4" x14ac:dyDescent="0.2">
      <c r="A1780" s="5">
        <v>1719</v>
      </c>
      <c r="B1780" s="138">
        <f>'Tax Sched 23'!C8</f>
        <v>586</v>
      </c>
      <c r="D1780" s="2" t="str">
        <f t="shared" si="26"/>
        <v>Error?</v>
      </c>
    </row>
    <row r="1781" spans="1:4" x14ac:dyDescent="0.2">
      <c r="A1781" s="5">
        <v>1720</v>
      </c>
      <c r="B1781" s="138">
        <f>'Tax Sched 23'!C10</f>
        <v>970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7311</v>
      </c>
      <c r="D1784" s="2" t="str">
        <f t="shared" si="26"/>
        <v>Error?</v>
      </c>
    </row>
    <row r="1785" spans="1:4" x14ac:dyDescent="0.2">
      <c r="A1785" s="5">
        <v>1724</v>
      </c>
      <c r="B1785" s="138">
        <f>'Tax Sched 23'!C12</f>
        <v>970</v>
      </c>
      <c r="D1785" s="2" t="str">
        <f t="shared" si="26"/>
        <v>Error?</v>
      </c>
    </row>
    <row r="1786" spans="1:4" x14ac:dyDescent="0.2">
      <c r="A1786" s="5">
        <v>1725</v>
      </c>
      <c r="B1786" s="138">
        <f>'Tax Sched 23'!C14</f>
        <v>776</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97298</v>
      </c>
      <c r="C1791" s="2" t="s">
        <v>573</v>
      </c>
      <c r="D1791" s="2" t="str">
        <f t="shared" ref="D1791:D1854" si="27">IF(ISBLANK(B1791),"OK",IF(A1791-B1791=0,"OK","Error?"))</f>
        <v>Error?</v>
      </c>
    </row>
    <row r="1792" spans="1:4" x14ac:dyDescent="0.2">
      <c r="A1792" s="5">
        <v>1731</v>
      </c>
      <c r="B1792" s="138">
        <f>'Tax Sched 23'!F4</f>
        <v>1983819</v>
      </c>
      <c r="C1792" s="2" t="s">
        <v>573</v>
      </c>
      <c r="D1792" s="2" t="str">
        <f t="shared" si="27"/>
        <v>Error?</v>
      </c>
    </row>
    <row r="1793" spans="1:4" x14ac:dyDescent="0.2">
      <c r="A1793" s="5">
        <v>1732</v>
      </c>
      <c r="B1793" s="138">
        <f>'Tax Sched 23'!F5</f>
        <v>338151</v>
      </c>
      <c r="C1793" s="2" t="s">
        <v>573</v>
      </c>
      <c r="D1793" s="2" t="str">
        <f t="shared" si="27"/>
        <v>Error?</v>
      </c>
    </row>
    <row r="1794" spans="1:4" x14ac:dyDescent="0.2">
      <c r="A1794" s="5">
        <v>1733</v>
      </c>
      <c r="B1794" s="138">
        <f>'Tax Sched 23'!F6</f>
        <v>375316</v>
      </c>
      <c r="C1794" s="2" t="s">
        <v>573</v>
      </c>
      <c r="D1794" s="2" t="str">
        <f t="shared" si="27"/>
        <v>Error?</v>
      </c>
    </row>
    <row r="1795" spans="1:4" x14ac:dyDescent="0.2">
      <c r="A1795" s="5">
        <v>1734</v>
      </c>
      <c r="B1795" s="138">
        <f>'Tax Sched 23'!F7</f>
        <v>128820</v>
      </c>
      <c r="C1795" s="2" t="s">
        <v>573</v>
      </c>
      <c r="D1795" s="2" t="str">
        <f t="shared" si="27"/>
        <v>Error?</v>
      </c>
    </row>
    <row r="1796" spans="1:4" x14ac:dyDescent="0.2">
      <c r="A1796" s="5">
        <v>1735</v>
      </c>
      <c r="B1796" s="138">
        <f>'Tax Sched 23'!F8</f>
        <v>19452</v>
      </c>
      <c r="C1796" s="2" t="s">
        <v>573</v>
      </c>
      <c r="D1796" s="2" t="str">
        <f t="shared" si="27"/>
        <v>Error?</v>
      </c>
    </row>
    <row r="1797" spans="1:4" x14ac:dyDescent="0.2">
      <c r="A1797" s="5">
        <v>1736</v>
      </c>
      <c r="B1797" s="138">
        <f>'Tax Sched 23'!F10</f>
        <v>32205</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242695</v>
      </c>
      <c r="C1800" s="2" t="s">
        <v>573</v>
      </c>
      <c r="D1800" s="2" t="str">
        <f t="shared" si="27"/>
        <v>Error?</v>
      </c>
    </row>
    <row r="1801" spans="1:4" x14ac:dyDescent="0.2">
      <c r="A1801" s="5">
        <v>1740</v>
      </c>
      <c r="B1801" s="138">
        <f>'Tax Sched 23'!F12</f>
        <v>32205</v>
      </c>
      <c r="C1801" s="2" t="s">
        <v>573</v>
      </c>
      <c r="D1801" s="2" t="str">
        <f t="shared" si="27"/>
        <v>Error?</v>
      </c>
    </row>
    <row r="1802" spans="1:4" x14ac:dyDescent="0.2">
      <c r="A1802" s="5">
        <v>1741</v>
      </c>
      <c r="B1802" s="138">
        <f>'Tax Sched 23'!F14</f>
        <v>25764</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3230084</v>
      </c>
      <c r="C1807" s="2" t="s">
        <v>573</v>
      </c>
      <c r="D1807" s="2" t="str">
        <f t="shared" si="27"/>
        <v>Error?</v>
      </c>
    </row>
    <row r="1808" spans="1:4" x14ac:dyDescent="0.2">
      <c r="A1808" s="5">
        <v>1747</v>
      </c>
      <c r="B1808" s="138">
        <f>'Tax Sched 23'!E4</f>
        <v>2043577</v>
      </c>
      <c r="D1808" s="2" t="str">
        <f t="shared" si="27"/>
        <v>Error?</v>
      </c>
    </row>
    <row r="1809" spans="1:4" x14ac:dyDescent="0.2">
      <c r="A1809" s="5">
        <v>1748</v>
      </c>
      <c r="B1809" s="138">
        <f>'Tax Sched 23'!E5</f>
        <v>348337</v>
      </c>
      <c r="D1809" s="2" t="str">
        <f t="shared" si="27"/>
        <v>Error?</v>
      </c>
    </row>
    <row r="1810" spans="1:4" x14ac:dyDescent="0.2">
      <c r="A1810" s="5">
        <v>1749</v>
      </c>
      <c r="B1810" s="138">
        <f>'Tax Sched 23'!E6</f>
        <v>386621</v>
      </c>
      <c r="D1810" s="2" t="str">
        <f t="shared" si="27"/>
        <v>Error?</v>
      </c>
    </row>
    <row r="1811" spans="1:4" x14ac:dyDescent="0.2">
      <c r="A1811" s="5">
        <v>1750</v>
      </c>
      <c r="B1811" s="138">
        <f>'Tax Sched 23'!E7</f>
        <v>132700</v>
      </c>
      <c r="D1811" s="2" t="str">
        <f t="shared" si="27"/>
        <v>Error?</v>
      </c>
    </row>
    <row r="1812" spans="1:4" x14ac:dyDescent="0.2">
      <c r="A1812" s="5">
        <v>1751</v>
      </c>
      <c r="B1812" s="138">
        <f>'Tax Sched 23'!E8</f>
        <v>20038</v>
      </c>
      <c r="D1812" s="2" t="str">
        <f t="shared" si="27"/>
        <v>Error?</v>
      </c>
    </row>
    <row r="1813" spans="1:4" x14ac:dyDescent="0.2">
      <c r="A1813" s="5">
        <v>1752</v>
      </c>
      <c r="B1813" s="138">
        <f>'Tax Sched 23'!E10</f>
        <v>33175</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250006</v>
      </c>
      <c r="D1816" s="2" t="str">
        <f t="shared" si="27"/>
        <v>Error?</v>
      </c>
    </row>
    <row r="1817" spans="1:4" x14ac:dyDescent="0.2">
      <c r="A1817" s="5">
        <v>1756</v>
      </c>
      <c r="B1817" s="138">
        <f>'Tax Sched 23'!E12</f>
        <v>33175</v>
      </c>
      <c r="D1817" s="2" t="str">
        <f t="shared" si="27"/>
        <v>Error?</v>
      </c>
    </row>
    <row r="1818" spans="1:4" x14ac:dyDescent="0.2">
      <c r="A1818" s="5">
        <v>1757</v>
      </c>
      <c r="B1818" s="138">
        <f>'Tax Sched 23'!E14</f>
        <v>26540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3327382</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4517734</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24325</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24325</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24325</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17419</v>
      </c>
      <c r="D2008" s="2" t="str">
        <f t="shared" si="30"/>
        <v>Error?</v>
      </c>
    </row>
    <row r="2009" spans="1:4" x14ac:dyDescent="0.2">
      <c r="A2009" s="5">
        <v>1948</v>
      </c>
      <c r="B2009" s="138">
        <f>'Cap Outlay Deprec 26'!C8</f>
        <v>3915790</v>
      </c>
      <c r="D2009" s="2" t="str">
        <f t="shared" si="30"/>
        <v>Error?</v>
      </c>
    </row>
    <row r="2010" spans="1:4" x14ac:dyDescent="0.2">
      <c r="A2010" s="5">
        <v>1949</v>
      </c>
      <c r="B2010" s="138">
        <f>'Cap Outlay Deprec 26'!C10</f>
        <v>586099</v>
      </c>
      <c r="D2010" s="2" t="str">
        <f t="shared" si="30"/>
        <v>Error?</v>
      </c>
    </row>
    <row r="2011" spans="1:4" x14ac:dyDescent="0.2">
      <c r="A2011" s="5">
        <v>1950</v>
      </c>
      <c r="B2011" s="138">
        <f>'Cap Outlay Deprec 26'!C12</f>
        <v>1401216</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5920524</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1044738</v>
      </c>
      <c r="D2016" s="2" t="str">
        <f t="shared" si="30"/>
        <v>Error?</v>
      </c>
    </row>
    <row r="2017" spans="1:4" x14ac:dyDescent="0.2">
      <c r="A2017" s="5">
        <v>1956</v>
      </c>
      <c r="B2017" s="138">
        <f>'Cap Outlay Deprec 26'!D12</f>
        <v>4456</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1049194</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17419</v>
      </c>
      <c r="C2026" s="2" t="s">
        <v>573</v>
      </c>
      <c r="D2026" s="2" t="str">
        <f t="shared" si="30"/>
        <v>Error?</v>
      </c>
    </row>
    <row r="2027" spans="1:4" x14ac:dyDescent="0.2">
      <c r="A2027" s="5">
        <v>1966</v>
      </c>
      <c r="B2027" s="138">
        <f>'Cap Outlay Deprec 26'!F8</f>
        <v>3915790</v>
      </c>
      <c r="C2027" s="2" t="s">
        <v>573</v>
      </c>
      <c r="D2027" s="2" t="str">
        <f t="shared" si="30"/>
        <v>Error?</v>
      </c>
    </row>
    <row r="2028" spans="1:4" x14ac:dyDescent="0.2">
      <c r="A2028" s="5">
        <v>1967</v>
      </c>
      <c r="B2028" s="138">
        <f>'Cap Outlay Deprec 26'!F10</f>
        <v>1630837</v>
      </c>
      <c r="C2028" s="2" t="s">
        <v>573</v>
      </c>
      <c r="D2028" s="2" t="str">
        <f t="shared" si="30"/>
        <v>Error?</v>
      </c>
    </row>
    <row r="2029" spans="1:4" x14ac:dyDescent="0.2">
      <c r="A2029" s="5">
        <v>1968</v>
      </c>
      <c r="B2029" s="138">
        <f>'Cap Outlay Deprec 26'!F12</f>
        <v>1405672</v>
      </c>
      <c r="C2029" s="2" t="s">
        <v>573</v>
      </c>
      <c r="D2029" s="2" t="str">
        <f t="shared" si="30"/>
        <v>Error?</v>
      </c>
    </row>
    <row r="2030" spans="1:4" x14ac:dyDescent="0.2">
      <c r="A2030" s="5">
        <v>1969</v>
      </c>
      <c r="B2030" s="138">
        <f>'Cap Outlay Deprec 26'!F13</f>
        <v>0</v>
      </c>
      <c r="C2030" s="2" t="s">
        <v>573</v>
      </c>
      <c r="D2030" s="2" t="str">
        <f t="shared" si="30"/>
        <v>Error?</v>
      </c>
    </row>
    <row r="2031" spans="1:4" x14ac:dyDescent="0.2">
      <c r="A2031" s="5">
        <v>1970</v>
      </c>
      <c r="B2031" s="138">
        <f>'Cap Outlay Deprec 26'!F16</f>
        <v>6969718</v>
      </c>
      <c r="C2031" s="2" t="s">
        <v>573</v>
      </c>
      <c r="D2031" s="2" t="str">
        <f t="shared" si="30"/>
        <v>Error?</v>
      </c>
    </row>
    <row r="2032" spans="1:4" x14ac:dyDescent="0.2">
      <c r="A2032" s="10">
        <v>1971</v>
      </c>
      <c r="D2032" s="2" t="str">
        <f t="shared" si="30"/>
        <v>OK</v>
      </c>
    </row>
    <row r="2033" spans="1:4" x14ac:dyDescent="0.2">
      <c r="A2033" s="5">
        <v>1972</v>
      </c>
      <c r="B2033" s="138">
        <f>'Cap Outlay Deprec 26'!H8</f>
        <v>2792198</v>
      </c>
      <c r="D2033" s="2" t="str">
        <f t="shared" si="30"/>
        <v>Error?</v>
      </c>
    </row>
    <row r="2034" spans="1:4" x14ac:dyDescent="0.2">
      <c r="A2034" s="5">
        <v>1973</v>
      </c>
      <c r="B2034" s="138">
        <f>'Cap Outlay Deprec 26'!H10</f>
        <v>55638</v>
      </c>
      <c r="D2034" s="2" t="str">
        <f t="shared" si="30"/>
        <v>Error?</v>
      </c>
    </row>
    <row r="2035" spans="1:4" x14ac:dyDescent="0.2">
      <c r="A2035" s="5">
        <v>1974</v>
      </c>
      <c r="B2035" s="138">
        <f>'Cap Outlay Deprec 26'!H12</f>
        <v>1342918</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4190754</v>
      </c>
      <c r="C2037" s="2" t="s">
        <v>573</v>
      </c>
      <c r="D2037" s="2" t="str">
        <f t="shared" si="30"/>
        <v>Error?</v>
      </c>
    </row>
    <row r="2038" spans="1:4" x14ac:dyDescent="0.2">
      <c r="A2038" s="10">
        <v>1977</v>
      </c>
      <c r="D2038" s="2" t="str">
        <f t="shared" si="30"/>
        <v>OK</v>
      </c>
    </row>
    <row r="2039" spans="1:4" x14ac:dyDescent="0.2">
      <c r="A2039" s="5">
        <v>1978</v>
      </c>
      <c r="B2039" s="138">
        <f>'Cap Outlay Deprec 26'!I8</f>
        <v>78025</v>
      </c>
      <c r="D2039" s="2" t="str">
        <f t="shared" si="30"/>
        <v>Error?</v>
      </c>
    </row>
    <row r="2040" spans="1:4" x14ac:dyDescent="0.2">
      <c r="A2040" s="5">
        <v>1979</v>
      </c>
      <c r="B2040" s="138">
        <f>'Cap Outlay Deprec 26'!I10</f>
        <v>81542</v>
      </c>
      <c r="D2040" s="2" t="str">
        <f t="shared" si="30"/>
        <v>Error?</v>
      </c>
    </row>
    <row r="2041" spans="1:4" x14ac:dyDescent="0.2">
      <c r="A2041" s="5">
        <v>1980</v>
      </c>
      <c r="B2041" s="138">
        <f>'Cap Outlay Deprec 26'!I12</f>
        <v>54638</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214205</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2870223</v>
      </c>
      <c r="C2051" s="2" t="s">
        <v>573</v>
      </c>
      <c r="D2051" s="2" t="str">
        <f t="shared" si="31"/>
        <v>Error?</v>
      </c>
    </row>
    <row r="2052" spans="1:4" x14ac:dyDescent="0.2">
      <c r="A2052" s="5">
        <v>1991</v>
      </c>
      <c r="B2052" s="138">
        <f>'Cap Outlay Deprec 26'!K10</f>
        <v>137180</v>
      </c>
      <c r="C2052" s="2" t="s">
        <v>573</v>
      </c>
      <c r="D2052" s="2" t="str">
        <f t="shared" si="31"/>
        <v>Error?</v>
      </c>
    </row>
    <row r="2053" spans="1:4" x14ac:dyDescent="0.2">
      <c r="A2053" s="5">
        <v>1992</v>
      </c>
      <c r="B2053" s="138">
        <f>'Cap Outlay Deprec 26'!K12</f>
        <v>1397556</v>
      </c>
      <c r="C2053" s="2" t="s">
        <v>573</v>
      </c>
      <c r="D2053" s="2" t="str">
        <f t="shared" si="31"/>
        <v>Error?</v>
      </c>
    </row>
    <row r="2054" spans="1:4" x14ac:dyDescent="0.2">
      <c r="A2054" s="5">
        <v>1993</v>
      </c>
      <c r="B2054" s="138">
        <f>'Cap Outlay Deprec 26'!K13</f>
        <v>0</v>
      </c>
      <c r="C2054" s="2" t="s">
        <v>573</v>
      </c>
      <c r="D2054" s="2" t="str">
        <f t="shared" si="31"/>
        <v>Error?</v>
      </c>
    </row>
    <row r="2055" spans="1:4" x14ac:dyDescent="0.2">
      <c r="A2055" s="5">
        <v>1994</v>
      </c>
      <c r="B2055" s="138">
        <f>'Cap Outlay Deprec 26'!K16</f>
        <v>4404959</v>
      </c>
      <c r="C2055" s="2" t="s">
        <v>573</v>
      </c>
      <c r="D2055" s="2" t="str">
        <f t="shared" si="31"/>
        <v>Error?</v>
      </c>
    </row>
    <row r="2056" spans="1:4" x14ac:dyDescent="0.2">
      <c r="A2056" s="5">
        <v>1995</v>
      </c>
      <c r="B2056" s="138">
        <f>'Cap Outlay Deprec 26'!L5</f>
        <v>17419</v>
      </c>
      <c r="C2056" s="2" t="s">
        <v>573</v>
      </c>
      <c r="D2056" s="2" t="str">
        <f t="shared" si="31"/>
        <v>Error?</v>
      </c>
    </row>
    <row r="2057" spans="1:4" x14ac:dyDescent="0.2">
      <c r="A2057" s="5">
        <v>1996</v>
      </c>
      <c r="B2057" s="138">
        <f>'Cap Outlay Deprec 26'!L8</f>
        <v>1045567</v>
      </c>
      <c r="C2057" s="2" t="s">
        <v>573</v>
      </c>
      <c r="D2057" s="2" t="str">
        <f t="shared" si="31"/>
        <v>Error?</v>
      </c>
    </row>
    <row r="2058" spans="1:4" x14ac:dyDescent="0.2">
      <c r="A2058" s="5">
        <v>1997</v>
      </c>
      <c r="B2058" s="138">
        <f>'Cap Outlay Deprec 26'!L10</f>
        <v>1493657</v>
      </c>
      <c r="C2058" s="2" t="s">
        <v>573</v>
      </c>
      <c r="D2058" s="2" t="str">
        <f t="shared" si="31"/>
        <v>Error?</v>
      </c>
    </row>
    <row r="2059" spans="1:4" x14ac:dyDescent="0.2">
      <c r="A2059" s="5">
        <v>1998</v>
      </c>
      <c r="B2059" s="138">
        <f>'Cap Outlay Deprec 26'!L12</f>
        <v>8116</v>
      </c>
      <c r="C2059" s="2" t="s">
        <v>573</v>
      </c>
      <c r="D2059" s="2" t="str">
        <f t="shared" si="31"/>
        <v>Error?</v>
      </c>
    </row>
    <row r="2060" spans="1:4" x14ac:dyDescent="0.2">
      <c r="A2060" s="5">
        <v>1999</v>
      </c>
      <c r="B2060" s="138">
        <f>'Cap Outlay Deprec 26'!L13</f>
        <v>0</v>
      </c>
      <c r="C2060" s="2" t="s">
        <v>573</v>
      </c>
      <c r="D2060" s="2" t="str">
        <f t="shared" si="31"/>
        <v>Error?</v>
      </c>
    </row>
    <row r="2061" spans="1:4" x14ac:dyDescent="0.2">
      <c r="A2061" s="5">
        <v>2000</v>
      </c>
      <c r="B2061" s="138">
        <f>'Cap Outlay Deprec 26'!L16</f>
        <v>2564759</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63017</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60000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814</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141823</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36873</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2102131</v>
      </c>
      <c r="C2551" s="2" t="s">
        <v>573</v>
      </c>
      <c r="D2551" s="2" t="str">
        <f t="shared" si="38"/>
        <v>Error?</v>
      </c>
    </row>
    <row r="2552" spans="1:4" x14ac:dyDescent="0.2">
      <c r="A2552" s="10">
        <v>2491</v>
      </c>
      <c r="D2552" s="2" t="str">
        <f t="shared" si="38"/>
        <v>OK</v>
      </c>
    </row>
    <row r="2553" spans="1:4" x14ac:dyDescent="0.2">
      <c r="A2553" s="5">
        <v>2492</v>
      </c>
      <c r="B2553" s="138">
        <f>'Acct Summary 7-8'!C6</f>
        <v>540978</v>
      </c>
      <c r="C2553" s="2" t="s">
        <v>573</v>
      </c>
      <c r="D2553" s="2" t="str">
        <f t="shared" si="38"/>
        <v>Error?</v>
      </c>
    </row>
    <row r="2554" spans="1:4" x14ac:dyDescent="0.2">
      <c r="A2554" s="5">
        <v>2493</v>
      </c>
      <c r="B2554" s="138">
        <f>'Acct Summary 7-8'!C7</f>
        <v>169509</v>
      </c>
      <c r="C2554" s="2" t="s">
        <v>573</v>
      </c>
      <c r="D2554" s="2" t="str">
        <f t="shared" si="38"/>
        <v>Error?</v>
      </c>
    </row>
    <row r="2555" spans="1:4" x14ac:dyDescent="0.2">
      <c r="A2555" s="5">
        <v>2494</v>
      </c>
      <c r="B2555" s="138">
        <f>'Acct Summary 7-8'!C8</f>
        <v>2867315</v>
      </c>
      <c r="C2555" s="2" t="s">
        <v>573</v>
      </c>
      <c r="D2555" s="2" t="str">
        <f t="shared" si="38"/>
        <v>Error?</v>
      </c>
    </row>
    <row r="2556" spans="1:4" x14ac:dyDescent="0.2">
      <c r="A2556" s="5">
        <v>2495</v>
      </c>
      <c r="B2556" s="138">
        <f>'Acct Summary 7-8'!C12</f>
        <v>1822949</v>
      </c>
      <c r="C2556" s="2" t="s">
        <v>573</v>
      </c>
      <c r="D2556" s="2" t="str">
        <f t="shared" si="38"/>
        <v>Error?</v>
      </c>
    </row>
    <row r="2557" spans="1:4" x14ac:dyDescent="0.2">
      <c r="A2557" s="5">
        <v>2496</v>
      </c>
      <c r="B2557" s="138">
        <f>'Acct Summary 7-8'!C13</f>
        <v>788506</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63017</v>
      </c>
      <c r="C2559" s="2" t="s">
        <v>573</v>
      </c>
      <c r="D2559" s="2" t="str">
        <f t="shared" ref="D2559:D2622" si="39">IF(ISBLANK(B2559),"OK",IF(A2559-B2559=0,"OK","Error?"))</f>
        <v>Error?</v>
      </c>
    </row>
    <row r="2560" spans="1:4" x14ac:dyDescent="0.2">
      <c r="A2560" s="5">
        <v>2499</v>
      </c>
      <c r="B2560" s="138">
        <f>'Acct Summary 7-8'!C16</f>
        <v>14</v>
      </c>
      <c r="C2560" s="2" t="s">
        <v>573</v>
      </c>
      <c r="D2560" s="2" t="str">
        <f t="shared" si="39"/>
        <v>Error?</v>
      </c>
    </row>
    <row r="2561" spans="1:4" x14ac:dyDescent="0.2">
      <c r="A2561" s="5">
        <v>2500</v>
      </c>
      <c r="B2561" s="138">
        <f>'Acct Summary 7-8'!C17</f>
        <v>2674486</v>
      </c>
      <c r="C2561" s="2" t="s">
        <v>573</v>
      </c>
      <c r="D2561" s="2" t="str">
        <f t="shared" si="39"/>
        <v>Error?</v>
      </c>
    </row>
    <row r="2562" spans="1:4" x14ac:dyDescent="0.2">
      <c r="A2562" s="5">
        <v>2501</v>
      </c>
      <c r="B2562" s="138">
        <f>'Acct Summary 7-8'!C20</f>
        <v>192829</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328554</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328554</v>
      </c>
      <c r="C2568" s="2" t="s">
        <v>573</v>
      </c>
      <c r="D2568" s="2" t="str">
        <f t="shared" si="39"/>
        <v>Error?</v>
      </c>
    </row>
    <row r="2569" spans="1:4" x14ac:dyDescent="0.2">
      <c r="A2569" s="5">
        <v>2508</v>
      </c>
      <c r="B2569" s="138">
        <f>'Acct Summary 7-8'!D13</f>
        <v>279368</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279368</v>
      </c>
      <c r="C2573" s="2" t="s">
        <v>573</v>
      </c>
      <c r="D2573" s="2" t="str">
        <f t="shared" si="39"/>
        <v>Error?</v>
      </c>
    </row>
    <row r="2574" spans="1:4" x14ac:dyDescent="0.2">
      <c r="A2574" s="5">
        <v>2513</v>
      </c>
      <c r="B2574" s="138">
        <f>'Acct Summary 7-8'!D20</f>
        <v>49186</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121634</v>
      </c>
      <c r="C2591" s="2" t="s">
        <v>573</v>
      </c>
      <c r="D2591" s="2" t="str">
        <f t="shared" si="39"/>
        <v>Error?</v>
      </c>
    </row>
    <row r="2592" spans="1:4" x14ac:dyDescent="0.2">
      <c r="A2592" s="10">
        <v>2531</v>
      </c>
      <c r="D2592" s="2" t="str">
        <f t="shared" si="39"/>
        <v>OK</v>
      </c>
    </row>
    <row r="2593" spans="1:4" x14ac:dyDescent="0.2">
      <c r="A2593" s="5">
        <v>2532</v>
      </c>
      <c r="B2593" s="138">
        <f>'Acct Summary 7-8'!F6</f>
        <v>105902</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227536</v>
      </c>
      <c r="C2595" s="2" t="s">
        <v>573</v>
      </c>
      <c r="D2595" s="2" t="str">
        <f t="shared" si="39"/>
        <v>Error?</v>
      </c>
    </row>
    <row r="2596" spans="1:4" x14ac:dyDescent="0.2">
      <c r="A2596" s="5">
        <v>2535</v>
      </c>
      <c r="B2596" s="138">
        <f>'Acct Summary 7-8'!F13</f>
        <v>296270</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296270</v>
      </c>
      <c r="C2600" s="2" t="s">
        <v>573</v>
      </c>
      <c r="D2600" s="2" t="str">
        <f t="shared" si="39"/>
        <v>Error?</v>
      </c>
    </row>
    <row r="2601" spans="1:4" x14ac:dyDescent="0.2">
      <c r="A2601" s="5">
        <v>2540</v>
      </c>
      <c r="B2601" s="138">
        <f>'Acct Summary 7-8'!F20</f>
        <v>-68734</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48833</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48833</v>
      </c>
      <c r="C2606" s="2" t="s">
        <v>573</v>
      </c>
      <c r="D2606" s="2" t="str">
        <f t="shared" si="39"/>
        <v>Error?</v>
      </c>
    </row>
    <row r="2607" spans="1:4" x14ac:dyDescent="0.2">
      <c r="A2607" s="5">
        <v>2546</v>
      </c>
      <c r="B2607" s="138">
        <f>'Acct Summary 7-8'!G12</f>
        <v>27619</v>
      </c>
      <c r="C2607" s="2" t="s">
        <v>573</v>
      </c>
      <c r="D2607" s="2" t="str">
        <f t="shared" si="39"/>
        <v>Error?</v>
      </c>
    </row>
    <row r="2608" spans="1:4" x14ac:dyDescent="0.2">
      <c r="A2608" s="5">
        <v>2547</v>
      </c>
      <c r="B2608" s="138">
        <f>'Acct Summary 7-8'!G13</f>
        <v>39869</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67488</v>
      </c>
      <c r="C2612" s="2" t="s">
        <v>573</v>
      </c>
      <c r="D2612" s="2" t="str">
        <f t="shared" si="39"/>
        <v>Error?</v>
      </c>
    </row>
    <row r="2613" spans="1:4" x14ac:dyDescent="0.2">
      <c r="A2613" s="5">
        <v>2552</v>
      </c>
      <c r="B2613" s="138">
        <f>'Acct Summary 7-8'!G20</f>
        <v>-18655</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366174</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366174</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426854</v>
      </c>
      <c r="C2634" s="2" t="s">
        <v>573</v>
      </c>
      <c r="D2634" s="2" t="str">
        <f t="shared" si="40"/>
        <v>Error?</v>
      </c>
    </row>
    <row r="2635" spans="1:4" x14ac:dyDescent="0.2">
      <c r="A2635" s="5">
        <v>2574</v>
      </c>
      <c r="B2635" s="138">
        <f>'Acct Summary 7-8'!E17</f>
        <v>426854</v>
      </c>
      <c r="C2635" s="2" t="s">
        <v>573</v>
      </c>
      <c r="D2635" s="2" t="str">
        <f t="shared" si="40"/>
        <v>Error?</v>
      </c>
    </row>
    <row r="2636" spans="1:4" x14ac:dyDescent="0.2">
      <c r="A2636" s="5">
        <v>2575</v>
      </c>
      <c r="B2636" s="138">
        <f>'Acct Summary 7-8'!E20</f>
        <v>-60680</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100412</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100412</v>
      </c>
      <c r="C2658" s="2" t="s">
        <v>573</v>
      </c>
      <c r="D2658" s="2" t="str">
        <f t="shared" si="40"/>
        <v>Error?</v>
      </c>
    </row>
    <row r="2659" spans="1:4" x14ac:dyDescent="0.2">
      <c r="A2659" s="5">
        <v>2598</v>
      </c>
      <c r="B2659" s="138">
        <f>'Acct Summary 7-8'!H13</f>
        <v>148295</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148295</v>
      </c>
      <c r="C2661" s="2" t="s">
        <v>573</v>
      </c>
      <c r="D2661" s="2" t="str">
        <f t="shared" si="40"/>
        <v>Error?</v>
      </c>
    </row>
    <row r="2662" spans="1:4" x14ac:dyDescent="0.2">
      <c r="A2662" s="5">
        <v>2601</v>
      </c>
      <c r="B2662" s="138">
        <f>'Acct Summary 7-8'!H20</f>
        <v>-47883</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63017</v>
      </c>
      <c r="C2789" s="2" t="s">
        <v>573</v>
      </c>
      <c r="D2789" s="2" t="str">
        <f t="shared" si="42"/>
        <v>Error?</v>
      </c>
    </row>
    <row r="2790" spans="1:4" x14ac:dyDescent="0.2">
      <c r="A2790" s="5">
        <v>2729</v>
      </c>
      <c r="B2790" s="138">
        <f>'Expenditures 15-22'!E102</f>
        <v>63017</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500000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848842</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11800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77742</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848842</v>
      </c>
      <c r="D2912" s="2" t="str">
        <f t="shared" si="44"/>
        <v>Error?</v>
      </c>
    </row>
    <row r="2913" spans="1:4" x14ac:dyDescent="0.2">
      <c r="A2913" s="5">
        <v>2852</v>
      </c>
      <c r="B2913" s="138">
        <f>'Assets-Liab 5-6'!I41</f>
        <v>848842</v>
      </c>
      <c r="C2913" s="2" t="s">
        <v>573</v>
      </c>
      <c r="D2913" s="2" t="str">
        <f t="shared" si="44"/>
        <v>Error?</v>
      </c>
    </row>
    <row r="2914" spans="1:4" x14ac:dyDescent="0.2">
      <c r="A2914" s="5">
        <v>2853</v>
      </c>
      <c r="B2914" s="138">
        <f>'Assets-Liab 5-6'!L33</f>
        <v>77742</v>
      </c>
      <c r="D2914" s="2" t="str">
        <f t="shared" si="44"/>
        <v>Error?</v>
      </c>
    </row>
    <row r="2915" spans="1:4" x14ac:dyDescent="0.2">
      <c r="A2915" s="10">
        <v>2854</v>
      </c>
      <c r="D2915" s="2" t="str">
        <f t="shared" si="44"/>
        <v>OK</v>
      </c>
    </row>
    <row r="2916" spans="1:4" x14ac:dyDescent="0.2">
      <c r="A2916" s="5">
        <v>2855</v>
      </c>
      <c r="B2916" s="138">
        <f>'Assets-Liab 5-6'!L34</f>
        <v>77742</v>
      </c>
      <c r="C2916" s="2" t="s">
        <v>573</v>
      </c>
      <c r="D2916" s="2" t="str">
        <f t="shared" si="44"/>
        <v>Error?</v>
      </c>
    </row>
    <row r="2917" spans="1:4" x14ac:dyDescent="0.2">
      <c r="A2917" s="5">
        <v>2856</v>
      </c>
      <c r="B2917" s="138">
        <f>'Assets-Liab 5-6'!L41</f>
        <v>77742</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63017</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63017</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42506</v>
      </c>
      <c r="D3055" s="2" t="str">
        <f t="shared" si="46"/>
        <v>Error?</v>
      </c>
    </row>
    <row r="3056" spans="1:4" x14ac:dyDescent="0.2">
      <c r="A3056" s="5">
        <v>2995</v>
      </c>
      <c r="B3056" s="138">
        <f>'Expenditures 15-22'!D10</f>
        <v>6878</v>
      </c>
      <c r="D3056" s="2" t="str">
        <f t="shared" si="46"/>
        <v>Error?</v>
      </c>
    </row>
    <row r="3057" spans="1:4" x14ac:dyDescent="0.2">
      <c r="A3057" s="5">
        <v>2996</v>
      </c>
      <c r="B3057" s="138">
        <f>'Expenditures 15-22'!E10</f>
        <v>5935</v>
      </c>
      <c r="D3057" s="2" t="str">
        <f t="shared" si="46"/>
        <v>Error?</v>
      </c>
    </row>
    <row r="3058" spans="1:4" x14ac:dyDescent="0.2">
      <c r="A3058" s="5">
        <v>2997</v>
      </c>
      <c r="B3058" s="138">
        <f>'Expenditures 15-22'!F10</f>
        <v>30434</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85753</v>
      </c>
      <c r="C3062" s="2" t="s">
        <v>573</v>
      </c>
      <c r="D3062" s="2" t="str">
        <f t="shared" si="46"/>
        <v>Error?</v>
      </c>
    </row>
    <row r="3063" spans="1:4" x14ac:dyDescent="0.2">
      <c r="A3063" s="10">
        <v>3002</v>
      </c>
      <c r="D3063" s="2" t="str">
        <f t="shared" si="46"/>
        <v>OK</v>
      </c>
    </row>
    <row r="3064" spans="1:4" x14ac:dyDescent="0.2">
      <c r="A3064" s="5">
        <v>3003</v>
      </c>
      <c r="B3064" s="138">
        <f>'Expenditures 15-22'!D219</f>
        <v>3372</v>
      </c>
      <c r="D3064" s="2" t="str">
        <f t="shared" si="46"/>
        <v>Error?</v>
      </c>
    </row>
    <row r="3065" spans="1:4" x14ac:dyDescent="0.2">
      <c r="A3065" s="5">
        <v>3004</v>
      </c>
      <c r="B3065" s="138">
        <f>'Expenditures 15-22'!K219</f>
        <v>3372</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30408</v>
      </c>
      <c r="C3225" s="2" t="s">
        <v>573</v>
      </c>
      <c r="D3225" s="2" t="str">
        <f t="shared" si="49"/>
        <v>Error?</v>
      </c>
    </row>
    <row r="3226" spans="1:4" x14ac:dyDescent="0.2">
      <c r="A3226" s="5">
        <v>3165</v>
      </c>
      <c r="B3226" s="138">
        <f>'Acct Summary 7-8'!I8</f>
        <v>30408</v>
      </c>
      <c r="C3226" s="2" t="s">
        <v>573</v>
      </c>
      <c r="D3226" s="2" t="str">
        <f t="shared" si="49"/>
        <v>Error?</v>
      </c>
    </row>
    <row r="3227" spans="1:4" x14ac:dyDescent="0.2">
      <c r="A3227" s="5">
        <v>3166</v>
      </c>
      <c r="B3227" s="138">
        <f>'Acct Summary 7-8'!I20</f>
        <v>30408</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192829</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49186</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60000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60000</v>
      </c>
      <c r="C3255" s="2" t="s">
        <v>573</v>
      </c>
      <c r="D3255" s="2" t="str">
        <f t="shared" si="49"/>
        <v>Error?</v>
      </c>
    </row>
    <row r="3256" spans="1:4" x14ac:dyDescent="0.2">
      <c r="A3256" s="5">
        <v>3195</v>
      </c>
      <c r="B3256" s="138">
        <f>'Acct Summary 7-8'!F78</f>
        <v>-8734</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-18655</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-60680</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-47883</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60000</v>
      </c>
      <c r="C3318" s="2" t="s">
        <v>573</v>
      </c>
      <c r="D3318" s="2" t="str">
        <f t="shared" si="50"/>
        <v>Error?</v>
      </c>
    </row>
    <row r="3319" spans="1:4" x14ac:dyDescent="0.2">
      <c r="A3319" s="5">
        <v>3258</v>
      </c>
      <c r="B3319" s="138">
        <f>'Acct Summary 7-8'!I77</f>
        <v>-60000</v>
      </c>
      <c r="C3319" s="2" t="s">
        <v>573</v>
      </c>
      <c r="D3319" s="2" t="str">
        <f t="shared" si="50"/>
        <v>Error?</v>
      </c>
    </row>
    <row r="3320" spans="1:4" x14ac:dyDescent="0.2">
      <c r="A3320" s="5">
        <v>3259</v>
      </c>
      <c r="B3320" s="138">
        <f>'Acct Summary 7-8'!I78</f>
        <v>-29592</v>
      </c>
      <c r="C3320" s="2" t="s">
        <v>573</v>
      </c>
      <c r="D3320" s="2" t="str">
        <f t="shared" si="50"/>
        <v>Error?</v>
      </c>
    </row>
    <row r="3321" spans="1:4" x14ac:dyDescent="0.2">
      <c r="A3321" s="5">
        <v>3260</v>
      </c>
      <c r="B3321" s="138">
        <f>'Acct Summary 7-8'!I79</f>
        <v>878434</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848842</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55595</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19218</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4521</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398</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79732</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17942</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17942</v>
      </c>
      <c r="C3390" s="2" t="s">
        <v>573</v>
      </c>
      <c r="D3390" s="2" t="str">
        <f t="shared" si="51"/>
        <v>Error?</v>
      </c>
    </row>
    <row r="3391" spans="1:4" x14ac:dyDescent="0.2">
      <c r="A3391" s="5">
        <v>3330</v>
      </c>
      <c r="B3391" s="138">
        <f>'Expenditures 15-22'!K217</f>
        <v>0</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54697</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763859</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204263</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3880</v>
      </c>
      <c r="D3417" s="2" t="str">
        <f t="shared" si="52"/>
        <v>Error?</v>
      </c>
    </row>
    <row r="3418" spans="1:4" x14ac:dyDescent="0.2">
      <c r="A3418" s="10">
        <v>3357</v>
      </c>
      <c r="D3418" s="2" t="str">
        <f t="shared" si="52"/>
        <v>OK</v>
      </c>
    </row>
    <row r="3419" spans="1:4" x14ac:dyDescent="0.2">
      <c r="A3419" s="5">
        <v>3358</v>
      </c>
      <c r="B3419" s="138">
        <f>'Assets-Liab 5-6'!F4</f>
        <v>63783</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141823</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48230</v>
      </c>
      <c r="D3425" s="2" t="str">
        <f t="shared" si="52"/>
        <v>Error?</v>
      </c>
    </row>
    <row r="3426" spans="1:4" x14ac:dyDescent="0.2">
      <c r="A3426" s="10">
        <v>3365</v>
      </c>
      <c r="D3426" s="2" t="str">
        <f t="shared" si="52"/>
        <v>OK</v>
      </c>
    </row>
    <row r="3427" spans="1:4" x14ac:dyDescent="0.2">
      <c r="A3427" s="5">
        <v>3366</v>
      </c>
      <c r="B3427" s="138">
        <f>'Assets-Liab 5-6'!I4</f>
        <v>348842</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65942</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23478</v>
      </c>
      <c r="C3446" s="2" t="s">
        <v>573</v>
      </c>
      <c r="D3446" s="2" t="str">
        <f t="shared" si="52"/>
        <v>Error?</v>
      </c>
    </row>
    <row r="3447" spans="1:4" x14ac:dyDescent="0.2">
      <c r="A3447" s="5">
        <v>3386</v>
      </c>
      <c r="B3447" s="138">
        <f>'Tax Sched 23'!D16</f>
        <v>22892</v>
      </c>
      <c r="C3447" s="2" t="s">
        <v>573</v>
      </c>
      <c r="D3447" s="2" t="str">
        <f t="shared" si="52"/>
        <v>Error?</v>
      </c>
    </row>
    <row r="3448" spans="1:4" x14ac:dyDescent="0.2">
      <c r="A3448" s="5">
        <v>3387</v>
      </c>
      <c r="B3448" s="138">
        <f>'Tax Sched 23'!C16</f>
        <v>586</v>
      </c>
      <c r="D3448" s="2" t="str">
        <f t="shared" si="52"/>
        <v>Error?</v>
      </c>
    </row>
    <row r="3449" spans="1:4" x14ac:dyDescent="0.2">
      <c r="A3449" s="5">
        <v>3388</v>
      </c>
      <c r="B3449" s="138">
        <f>'Tax Sched 23'!F16</f>
        <v>19452</v>
      </c>
      <c r="C3449" s="2" t="s">
        <v>573</v>
      </c>
      <c r="D3449" s="2" t="str">
        <f t="shared" si="52"/>
        <v>Error?</v>
      </c>
    </row>
    <row r="3450" spans="1:4" x14ac:dyDescent="0.2">
      <c r="A3450" s="5">
        <v>3389</v>
      </c>
      <c r="B3450" s="138">
        <f>'Tax Sched 23'!E16</f>
        <v>20038</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47313</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47313</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47313</v>
      </c>
      <c r="D3567" s="2" t="str">
        <f t="shared" si="54"/>
        <v>Error?</v>
      </c>
    </row>
    <row r="3568" spans="1:4" x14ac:dyDescent="0.2">
      <c r="A3568" s="5">
        <v>3507</v>
      </c>
      <c r="B3568" s="138">
        <f>'Assets-Liab 5-6'!K41</f>
        <v>47313</v>
      </c>
      <c r="C3568" s="2" t="s">
        <v>573</v>
      </c>
      <c r="D3568" s="2" t="str">
        <f t="shared" si="54"/>
        <v>Error?</v>
      </c>
    </row>
    <row r="3569" spans="1:4" x14ac:dyDescent="0.2">
      <c r="A3569" s="5">
        <v>3508</v>
      </c>
      <c r="B3569" s="138">
        <f>'Acct Summary 7-8'!K4</f>
        <v>30408</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30408</v>
      </c>
      <c r="C3571" s="2" t="s">
        <v>573</v>
      </c>
      <c r="D3571" s="2" t="str">
        <f t="shared" si="54"/>
        <v>Error?</v>
      </c>
    </row>
    <row r="3572" spans="1:4" x14ac:dyDescent="0.2">
      <c r="A3572" s="5">
        <v>3511</v>
      </c>
      <c r="B3572" s="138">
        <f>'Acct Summary 7-8'!K13</f>
        <v>896443</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16000</v>
      </c>
      <c r="C3574" s="2" t="s">
        <v>573</v>
      </c>
      <c r="D3574" s="2" t="str">
        <f t="shared" si="54"/>
        <v>Error?</v>
      </c>
    </row>
    <row r="3575" spans="1:4" x14ac:dyDescent="0.2">
      <c r="A3575" s="5">
        <v>3514</v>
      </c>
      <c r="B3575" s="138">
        <f>'Acct Summary 7-8'!K17</f>
        <v>912443</v>
      </c>
      <c r="C3575" s="2" t="s">
        <v>573</v>
      </c>
      <c r="D3575" s="2" t="str">
        <f t="shared" si="54"/>
        <v>Error?</v>
      </c>
    </row>
    <row r="3576" spans="1:4" x14ac:dyDescent="0.2">
      <c r="A3576" s="5">
        <v>3515</v>
      </c>
      <c r="B3576" s="138">
        <f>'Acct Summary 7-8'!K20</f>
        <v>-882035</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-882035</v>
      </c>
      <c r="C3588" s="2" t="s">
        <v>573</v>
      </c>
      <c r="D3588" s="2" t="str">
        <f t="shared" si="55"/>
        <v>Error?</v>
      </c>
    </row>
    <row r="3589" spans="1:4" x14ac:dyDescent="0.2">
      <c r="A3589" s="5">
        <v>3528</v>
      </c>
      <c r="B3589" s="138">
        <f>'Acct Summary 7-8'!K79</f>
        <v>929348</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47313</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896443</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896443</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896443</v>
      </c>
      <c r="C3649" s="2" t="s">
        <v>573</v>
      </c>
      <c r="D3649" s="2" t="str">
        <f t="shared" si="56"/>
        <v>Error?</v>
      </c>
    </row>
    <row r="3650" spans="1:4" x14ac:dyDescent="0.2">
      <c r="A3650" s="5">
        <v>3589</v>
      </c>
      <c r="B3650" s="138">
        <f>'Expenditures 15-22'!G367</f>
        <v>896443</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16000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896443</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896443</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896443</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912443</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-882035</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24954</v>
      </c>
      <c r="C3725" s="2" t="s">
        <v>573</v>
      </c>
      <c r="D3725" s="2" t="str">
        <f t="shared" si="57"/>
        <v>Error?</v>
      </c>
    </row>
    <row r="3726" spans="1:4" x14ac:dyDescent="0.2">
      <c r="A3726" s="5">
        <v>3665</v>
      </c>
      <c r="B3726" s="138">
        <f>'Tax Sched 23'!D13</f>
        <v>23984</v>
      </c>
      <c r="C3726" s="2" t="s">
        <v>573</v>
      </c>
      <c r="D3726" s="2" t="str">
        <f t="shared" si="57"/>
        <v>Error?</v>
      </c>
    </row>
    <row r="3727" spans="1:4" x14ac:dyDescent="0.2">
      <c r="A3727" s="5">
        <v>3666</v>
      </c>
      <c r="B3727" s="138">
        <f>'Tax Sched 23'!C13</f>
        <v>970</v>
      </c>
      <c r="D3727" s="2" t="str">
        <f t="shared" si="57"/>
        <v>Error?</v>
      </c>
    </row>
    <row r="3728" spans="1:4" x14ac:dyDescent="0.2">
      <c r="A3728" s="5">
        <v>3667</v>
      </c>
      <c r="B3728" s="138">
        <f>'Tax Sched 23'!F13</f>
        <v>32205</v>
      </c>
      <c r="C3728" s="2" t="s">
        <v>573</v>
      </c>
      <c r="D3728" s="2" t="str">
        <f t="shared" si="57"/>
        <v>Error?</v>
      </c>
    </row>
    <row r="3729" spans="1:4" x14ac:dyDescent="0.2">
      <c r="A3729" s="5">
        <v>3668</v>
      </c>
      <c r="B3729" s="138">
        <f>'Tax Sched 23'!E13</f>
        <v>33175</v>
      </c>
      <c r="D3729" s="2" t="str">
        <f t="shared" si="57"/>
        <v>Error?</v>
      </c>
    </row>
    <row r="3730" spans="1:4" x14ac:dyDescent="0.2">
      <c r="A3730" s="5">
        <v>3669</v>
      </c>
      <c r="B3730" s="138">
        <f>'ICR Computation 30'!E10</f>
        <v>84949</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1182868</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4050183</v>
      </c>
      <c r="C4122" s="2" t="s">
        <v>573</v>
      </c>
      <c r="D4122" s="2" t="str">
        <f t="shared" si="63"/>
        <v>Error?</v>
      </c>
    </row>
    <row r="4123" spans="1:4" x14ac:dyDescent="0.2">
      <c r="A4123" s="5">
        <v>4062</v>
      </c>
      <c r="B4123" s="138">
        <f>'Acct Summary 7-8'!D10</f>
        <v>328554</v>
      </c>
      <c r="C4123" s="2" t="s">
        <v>573</v>
      </c>
      <c r="D4123" s="2" t="str">
        <f t="shared" si="63"/>
        <v>Error?</v>
      </c>
    </row>
    <row r="4124" spans="1:4" x14ac:dyDescent="0.2">
      <c r="A4124" s="5">
        <v>4063</v>
      </c>
      <c r="B4124" s="138">
        <f>'Acct Summary 7-8'!E10</f>
        <v>366174</v>
      </c>
      <c r="C4124" s="2" t="s">
        <v>573</v>
      </c>
      <c r="D4124" s="2" t="str">
        <f t="shared" si="63"/>
        <v>Error?</v>
      </c>
    </row>
    <row r="4125" spans="1:4" x14ac:dyDescent="0.2">
      <c r="A4125" s="5">
        <v>4064</v>
      </c>
      <c r="B4125" s="138">
        <f>'Acct Summary 7-8'!F10</f>
        <v>227536</v>
      </c>
      <c r="C4125" s="2" t="s">
        <v>573</v>
      </c>
      <c r="D4125" s="2" t="str">
        <f t="shared" si="63"/>
        <v>Error?</v>
      </c>
    </row>
    <row r="4126" spans="1:4" x14ac:dyDescent="0.2">
      <c r="A4126" s="5">
        <v>4065</v>
      </c>
      <c r="B4126" s="138">
        <f>'Acct Summary 7-8'!G10</f>
        <v>48833</v>
      </c>
      <c r="C4126" s="2" t="s">
        <v>573</v>
      </c>
      <c r="D4126" s="2" t="str">
        <f t="shared" si="63"/>
        <v>Error?</v>
      </c>
    </row>
    <row r="4127" spans="1:4" x14ac:dyDescent="0.2">
      <c r="A4127" s="5">
        <v>4066</v>
      </c>
      <c r="B4127" s="138">
        <f>'Acct Summary 7-8'!H10</f>
        <v>100412</v>
      </c>
      <c r="C4127" s="2" t="s">
        <v>573</v>
      </c>
      <c r="D4127" s="2" t="str">
        <f t="shared" si="63"/>
        <v>Error?</v>
      </c>
    </row>
    <row r="4128" spans="1:4" x14ac:dyDescent="0.2">
      <c r="A4128" s="5">
        <v>4067</v>
      </c>
      <c r="B4128" s="138">
        <f>'Acct Summary 7-8'!I10</f>
        <v>30408</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30408</v>
      </c>
      <c r="C4130" s="2" t="s">
        <v>573</v>
      </c>
      <c r="D4130" s="2" t="str">
        <f t="shared" si="63"/>
        <v>Error?</v>
      </c>
    </row>
    <row r="4131" spans="1:4" x14ac:dyDescent="0.2">
      <c r="A4131" s="5">
        <v>4070</v>
      </c>
      <c r="B4131" s="138">
        <f>'Acct Summary 7-8'!C18</f>
        <v>1182868</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3857354</v>
      </c>
      <c r="C4136" s="2" t="s">
        <v>573</v>
      </c>
      <c r="D4136" s="2" t="str">
        <f t="shared" si="63"/>
        <v>Error?</v>
      </c>
    </row>
    <row r="4137" spans="1:4" x14ac:dyDescent="0.2">
      <c r="A4137" s="5">
        <v>4076</v>
      </c>
      <c r="B4137" s="138">
        <f>'Acct Summary 7-8'!D19</f>
        <v>279368</v>
      </c>
      <c r="C4137" s="2" t="s">
        <v>573</v>
      </c>
      <c r="D4137" s="2" t="str">
        <f t="shared" si="63"/>
        <v>Error?</v>
      </c>
    </row>
    <row r="4138" spans="1:4" x14ac:dyDescent="0.2">
      <c r="A4138" s="5">
        <v>4077</v>
      </c>
      <c r="B4138" s="138">
        <f>'Acct Summary 7-8'!E19</f>
        <v>426854</v>
      </c>
      <c r="C4138" s="2" t="s">
        <v>573</v>
      </c>
      <c r="D4138" s="2" t="str">
        <f t="shared" si="63"/>
        <v>Error?</v>
      </c>
    </row>
    <row r="4139" spans="1:4" x14ac:dyDescent="0.2">
      <c r="A4139" s="5">
        <v>4078</v>
      </c>
      <c r="B4139" s="138">
        <f>'Acct Summary 7-8'!F19</f>
        <v>296270</v>
      </c>
      <c r="C4139" s="2" t="s">
        <v>573</v>
      </c>
      <c r="D4139" s="2" t="str">
        <f t="shared" si="63"/>
        <v>Error?</v>
      </c>
    </row>
    <row r="4140" spans="1:4" x14ac:dyDescent="0.2">
      <c r="A4140" s="5">
        <v>4079</v>
      </c>
      <c r="B4140" s="138">
        <f>'Acct Summary 7-8'!G19</f>
        <v>67488</v>
      </c>
      <c r="C4140" s="2" t="s">
        <v>573</v>
      </c>
      <c r="D4140" s="2" t="str">
        <f t="shared" si="63"/>
        <v>Error?</v>
      </c>
    </row>
    <row r="4141" spans="1:4" x14ac:dyDescent="0.2">
      <c r="A4141" s="5">
        <v>4080</v>
      </c>
      <c r="B4141" s="138">
        <f>'Acct Summary 7-8'!H19</f>
        <v>148295</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912443</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4272734</v>
      </c>
      <c r="C4171" s="2" t="s">
        <v>573</v>
      </c>
      <c r="D4171" s="2" t="str">
        <f t="shared" si="64"/>
        <v>Error?</v>
      </c>
    </row>
    <row r="4172" spans="1:4" x14ac:dyDescent="0.2">
      <c r="A4172" s="5">
        <v>4111</v>
      </c>
      <c r="B4172" s="138">
        <f>'Short-Term Long-Term Debt 24'!J49</f>
        <v>4268854</v>
      </c>
      <c r="C4172" s="2" t="s">
        <v>573</v>
      </c>
      <c r="D4172" s="2" t="str">
        <f t="shared" si="64"/>
        <v>Error?</v>
      </c>
    </row>
    <row r="4173" spans="1:4" x14ac:dyDescent="0.2">
      <c r="A4173" s="5">
        <v>4112</v>
      </c>
      <c r="B4173" s="138">
        <f>'Short-Term Long-Term Debt 24'!H49</f>
        <v>245000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6064</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3080</v>
      </c>
      <c r="C4265" s="2" t="s">
        <v>573</v>
      </c>
      <c r="D4265" s="2" t="str">
        <f t="shared" si="65"/>
        <v>Error?</v>
      </c>
      <c r="E4265" s="128"/>
    </row>
    <row r="4266" spans="1:5" x14ac:dyDescent="0.2">
      <c r="A4266" s="12">
        <v>4205</v>
      </c>
      <c r="B4266" s="138">
        <f>('FP Info 3'!F10)*100000</f>
        <v>525</v>
      </c>
      <c r="C4266" s="2" t="s">
        <v>573</v>
      </c>
      <c r="D4266" s="2" t="str">
        <f t="shared" si="65"/>
        <v>Error?</v>
      </c>
      <c r="E4266" s="128"/>
    </row>
    <row r="4267" spans="1:5" x14ac:dyDescent="0.2">
      <c r="A4267" s="12">
        <v>4206</v>
      </c>
      <c r="B4267" s="138">
        <f>('FP Info 3'!H10)*100000</f>
        <v>200</v>
      </c>
      <c r="C4267" s="2" t="s">
        <v>573</v>
      </c>
      <c r="D4267" s="2" t="str">
        <f t="shared" si="65"/>
        <v>Error?</v>
      </c>
      <c r="E4267" s="128"/>
    </row>
    <row r="4268" spans="1:5" x14ac:dyDescent="0.2">
      <c r="A4268" s="12">
        <v>4207</v>
      </c>
      <c r="B4268" s="138">
        <f>('FP Info 3'!J10)*100000</f>
        <v>3805</v>
      </c>
      <c r="C4268" s="2" t="s">
        <v>573</v>
      </c>
      <c r="D4268" s="2" t="str">
        <f t="shared" si="65"/>
        <v>Error?</v>
      </c>
    </row>
    <row r="4269" spans="1:5" x14ac:dyDescent="0.2">
      <c r="A4269" s="12">
        <v>4208</v>
      </c>
      <c r="B4269" s="138">
        <f>'FP Info 3'!J16</f>
        <v>1872609</v>
      </c>
      <c r="C4269" s="2" t="s">
        <v>573</v>
      </c>
      <c r="D4269" s="2" t="str">
        <f t="shared" si="65"/>
        <v>Error?</v>
      </c>
    </row>
    <row r="4270" spans="1:5" x14ac:dyDescent="0.2">
      <c r="A4270" s="12">
        <v>4209</v>
      </c>
      <c r="B4270" s="138">
        <f>'FP Info 3'!D24</f>
        <v>8138</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4109</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17643</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17643</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10883</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11349</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1067</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66349902</v>
      </c>
      <c r="D4995" s="2" t="str">
        <f t="shared" si="77"/>
        <v>Error?</v>
      </c>
    </row>
    <row r="4996" spans="1:4" x14ac:dyDescent="0.2">
      <c r="A4996" s="12">
        <v>4935</v>
      </c>
      <c r="B4996" s="138">
        <f>'FP Info 3'!H31</f>
        <v>9156286.4760000017</v>
      </c>
      <c r="D4996" s="2" t="str">
        <f t="shared" si="77"/>
        <v>Error?</v>
      </c>
    </row>
    <row r="4997" spans="1:4" x14ac:dyDescent="0.2">
      <c r="A4997" s="12">
        <v>4936</v>
      </c>
      <c r="B4997" s="138">
        <f>'FP Info 3'!H37</f>
        <v>4272734</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24954</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1873227</v>
      </c>
      <c r="D5061" s="2" t="str">
        <f t="shared" si="78"/>
        <v>Error?</v>
      </c>
    </row>
    <row r="5062" spans="1:4" x14ac:dyDescent="0.2">
      <c r="A5062" s="10">
        <v>5001</v>
      </c>
      <c r="D5062" s="2" t="str">
        <f t="shared" si="78"/>
        <v>OK</v>
      </c>
    </row>
    <row r="5063" spans="1:4" x14ac:dyDescent="0.2">
      <c r="A5063" s="5">
        <v>5002</v>
      </c>
      <c r="B5063" s="138">
        <f>'Revenues 9-14'!C7</f>
        <v>24325</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1922506</v>
      </c>
      <c r="C5066" s="2" t="s">
        <v>573</v>
      </c>
      <c r="D5066" s="2" t="str">
        <f t="shared" si="78"/>
        <v>Error?</v>
      </c>
    </row>
    <row r="5067" spans="1:4" x14ac:dyDescent="0.2">
      <c r="A5067" s="5">
        <v>5006</v>
      </c>
      <c r="B5067" s="138">
        <f>'Revenues 9-14'!C14</f>
        <v>507</v>
      </c>
      <c r="D5067" s="2" t="str">
        <f t="shared" si="78"/>
        <v>Error?</v>
      </c>
    </row>
    <row r="5068" spans="1:4" x14ac:dyDescent="0.2">
      <c r="A5068" s="5">
        <v>5007</v>
      </c>
      <c r="B5068" s="138">
        <f>'Revenues 9-14'!C15</f>
        <v>0</v>
      </c>
      <c r="D5068" s="2" t="str">
        <f t="shared" si="78"/>
        <v>Error?</v>
      </c>
    </row>
    <row r="5069" spans="1:4" x14ac:dyDescent="0.2">
      <c r="A5069" s="5">
        <v>5008</v>
      </c>
      <c r="B5069" s="138">
        <f>'Revenues 9-14'!C16</f>
        <v>73733</v>
      </c>
      <c r="D5069" s="2" t="str">
        <f t="shared" si="78"/>
        <v>Error?</v>
      </c>
    </row>
    <row r="5070" spans="1:4" x14ac:dyDescent="0.2">
      <c r="A5070" s="5">
        <v>5009</v>
      </c>
      <c r="B5070" s="138">
        <f>'Revenues 9-14'!C17</f>
        <v>0</v>
      </c>
      <c r="D5070" s="2" t="str">
        <f t="shared" si="78"/>
        <v>Error?</v>
      </c>
    </row>
    <row r="5071" spans="1:4" x14ac:dyDescent="0.2">
      <c r="A5071" s="5">
        <v>5010</v>
      </c>
      <c r="B5071" s="138">
        <f>'Revenues 9-14'!C18</f>
        <v>74240</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573</v>
      </c>
      <c r="D5087" s="2" t="str">
        <f t="shared" si="78"/>
        <v>Error?</v>
      </c>
    </row>
    <row r="5088" spans="1:4" x14ac:dyDescent="0.2">
      <c r="A5088" s="5">
        <v>5027</v>
      </c>
      <c r="B5088" s="138">
        <f>'Revenues 9-14'!C65</f>
        <v>3471</v>
      </c>
      <c r="D5088" s="2" t="str">
        <f t="shared" si="78"/>
        <v>Error?</v>
      </c>
    </row>
    <row r="5089" spans="1:4" x14ac:dyDescent="0.2">
      <c r="A5089" s="5">
        <v>5028</v>
      </c>
      <c r="B5089" s="138">
        <f>'Revenues 9-14'!C66</f>
        <v>0</v>
      </c>
      <c r="D5089" s="2" t="str">
        <f t="shared" si="78"/>
        <v>Error?</v>
      </c>
    </row>
    <row r="5090" spans="1:4" x14ac:dyDescent="0.2">
      <c r="A5090" s="5">
        <v>5029</v>
      </c>
      <c r="B5090" s="138">
        <f>'Revenues 9-14'!C67</f>
        <v>3471</v>
      </c>
      <c r="C5090" s="2" t="s">
        <v>573</v>
      </c>
      <c r="D5090" s="2" t="str">
        <f t="shared" si="78"/>
        <v>Error?</v>
      </c>
    </row>
    <row r="5091" spans="1:4" x14ac:dyDescent="0.2">
      <c r="A5091" s="5">
        <v>5030</v>
      </c>
      <c r="B5091" s="138">
        <f>'Revenues 9-14'!C70</f>
        <v>1121</v>
      </c>
      <c r="D5091" s="2" t="str">
        <f t="shared" si="78"/>
        <v>Error?</v>
      </c>
    </row>
    <row r="5092" spans="1:4" x14ac:dyDescent="0.2">
      <c r="A5092" s="5">
        <v>5031</v>
      </c>
      <c r="B5092" s="138">
        <f>'Revenues 9-14'!C71</f>
        <v>542</v>
      </c>
      <c r="D5092" s="2" t="str">
        <f t="shared" si="78"/>
        <v>Error?</v>
      </c>
    </row>
    <row r="5093" spans="1:4" x14ac:dyDescent="0.2">
      <c r="A5093" s="5">
        <v>5032</v>
      </c>
      <c r="B5093" s="138">
        <f>'Revenues 9-14'!C72</f>
        <v>0</v>
      </c>
      <c r="D5093" s="2" t="str">
        <f t="shared" si="78"/>
        <v>Error?</v>
      </c>
    </row>
    <row r="5094" spans="1:4" x14ac:dyDescent="0.2">
      <c r="A5094" s="5">
        <v>5033</v>
      </c>
      <c r="B5094" s="138">
        <f>'Revenues 9-14'!C73</f>
        <v>1395</v>
      </c>
      <c r="D5094" s="2" t="str">
        <f t="shared" si="78"/>
        <v>Error?</v>
      </c>
    </row>
    <row r="5095" spans="1:4" x14ac:dyDescent="0.2">
      <c r="A5095" s="5">
        <v>5034</v>
      </c>
      <c r="B5095" s="138">
        <f>'Revenues 9-14'!C74</f>
        <v>0</v>
      </c>
      <c r="D5095" s="2" t="str">
        <f t="shared" si="78"/>
        <v>Error?</v>
      </c>
    </row>
    <row r="5096" spans="1:4" x14ac:dyDescent="0.2">
      <c r="A5096" s="5">
        <v>5035</v>
      </c>
      <c r="B5096" s="138">
        <f>'Revenues 9-14'!C75</f>
        <v>24951</v>
      </c>
      <c r="C5096" s="2" t="s">
        <v>573</v>
      </c>
      <c r="D5096" s="2" t="str">
        <f t="shared" si="78"/>
        <v>Error?</v>
      </c>
    </row>
    <row r="5097" spans="1:4" x14ac:dyDescent="0.2">
      <c r="A5097" s="5">
        <v>5036</v>
      </c>
      <c r="B5097" s="138">
        <f>'Revenues 9-14'!C77</f>
        <v>19417</v>
      </c>
      <c r="D5097" s="2" t="str">
        <f t="shared" si="78"/>
        <v>Error?</v>
      </c>
    </row>
    <row r="5098" spans="1:4" x14ac:dyDescent="0.2">
      <c r="A5098" s="5">
        <v>5037</v>
      </c>
      <c r="B5098" s="138">
        <f>'Revenues 9-14'!C78</f>
        <v>5902</v>
      </c>
      <c r="D5098" s="2" t="str">
        <f t="shared" si="78"/>
        <v>Error?</v>
      </c>
    </row>
    <row r="5099" spans="1:4" x14ac:dyDescent="0.2">
      <c r="A5099" s="5">
        <v>5038</v>
      </c>
      <c r="B5099" s="138">
        <f>'Revenues 9-14'!C79</f>
        <v>13473</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38792</v>
      </c>
      <c r="C5102" s="2" t="s">
        <v>573</v>
      </c>
      <c r="D5102" s="2" t="str">
        <f t="shared" si="78"/>
        <v>Error?</v>
      </c>
    </row>
    <row r="5103" spans="1:4" x14ac:dyDescent="0.2">
      <c r="A5103" s="5">
        <v>5042</v>
      </c>
      <c r="B5103" s="138">
        <f>'Revenues 9-14'!C84</f>
        <v>9098</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9098</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20022</v>
      </c>
      <c r="D5115" s="2" t="str">
        <f t="shared" si="78"/>
        <v>Error?</v>
      </c>
    </row>
    <row r="5116" spans="1:4" x14ac:dyDescent="0.2">
      <c r="A5116" s="5">
        <v>5055</v>
      </c>
      <c r="B5116" s="138">
        <f>'Revenues 9-14'!C99</f>
        <v>13</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2838</v>
      </c>
      <c r="D5119" s="2" t="str">
        <f t="shared" ref="D5119:D5182" si="79">IF(ISBLANK(B5119),"OK",IF(A5119-B5119=0,"OK","Error?"))</f>
        <v>Error?</v>
      </c>
    </row>
    <row r="5120" spans="1:4" x14ac:dyDescent="0.2">
      <c r="A5120" s="5">
        <v>5059</v>
      </c>
      <c r="B5120" s="138">
        <f>'Revenues 9-14'!C108</f>
        <v>29073</v>
      </c>
      <c r="C5120" s="2" t="s">
        <v>573</v>
      </c>
      <c r="D5120" s="2" t="str">
        <f t="shared" si="79"/>
        <v>Error?</v>
      </c>
    </row>
    <row r="5121" spans="1:4" x14ac:dyDescent="0.2">
      <c r="A5121" s="5">
        <v>5060</v>
      </c>
      <c r="B5121" s="138">
        <f>'Revenues 9-14'!C109</f>
        <v>2102131</v>
      </c>
      <c r="C5121" s="2" t="s">
        <v>573</v>
      </c>
      <c r="D5121" s="2" t="str">
        <f t="shared" si="79"/>
        <v>Error?</v>
      </c>
    </row>
    <row r="5122" spans="1:4" x14ac:dyDescent="0.2">
      <c r="A5122" s="5">
        <v>5061</v>
      </c>
      <c r="B5122" s="138">
        <f>'Revenues 9-14'!C111</f>
        <v>54697</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54697</v>
      </c>
      <c r="C5125" s="2" t="s">
        <v>573</v>
      </c>
      <c r="D5125" s="2" t="str">
        <f t="shared" si="79"/>
        <v>Error?</v>
      </c>
    </row>
    <row r="5126" spans="1:4" x14ac:dyDescent="0.2">
      <c r="A5126" s="5">
        <v>5065</v>
      </c>
      <c r="B5126" s="138">
        <f>'Revenues 9-14'!C117</f>
        <v>424146</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424146</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6064</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1080</v>
      </c>
      <c r="D5167" s="2" t="str">
        <f t="shared" si="79"/>
        <v>Error?</v>
      </c>
    </row>
    <row r="5168" spans="1:4" x14ac:dyDescent="0.2">
      <c r="A5168" s="5">
        <v>5107</v>
      </c>
      <c r="B5168" s="138">
        <f>'Revenues 9-14'!C148</f>
        <v>4667</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103954</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116832</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540978</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46546</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12399</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58945</v>
      </c>
      <c r="C5246" s="2" t="s">
        <v>573</v>
      </c>
      <c r="D5246" s="2" t="str">
        <f t="shared" si="80"/>
        <v>Error?</v>
      </c>
    </row>
    <row r="5247" spans="1:4" x14ac:dyDescent="0.2">
      <c r="A5247" s="5">
        <v>5186</v>
      </c>
      <c r="B5247" s="138">
        <f>'Revenues 9-14'!C200</f>
        <v>66580</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10883</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66580</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0</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169509</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169509</v>
      </c>
      <c r="C5326" s="2" t="s">
        <v>573</v>
      </c>
      <c r="D5326" s="2" t="str">
        <f t="shared" si="82"/>
        <v>Error?</v>
      </c>
    </row>
    <row r="5327" spans="1:5" x14ac:dyDescent="0.2">
      <c r="A5327" s="5">
        <v>5266</v>
      </c>
      <c r="B5327" s="138">
        <f>'Revenues 9-14'!C268</f>
        <v>2867315</v>
      </c>
      <c r="C5327" s="2" t="s">
        <v>573</v>
      </c>
      <c r="D5327" s="2" t="str">
        <f t="shared" si="82"/>
        <v>Error?</v>
      </c>
    </row>
    <row r="5328" spans="1:5" x14ac:dyDescent="0.2">
      <c r="A5328" s="5">
        <v>5267</v>
      </c>
      <c r="B5328" s="138">
        <f>'Revenues 9-14'!D5</f>
        <v>319275</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319275</v>
      </c>
      <c r="C5334" s="2" t="s">
        <v>573</v>
      </c>
      <c r="D5334" s="2" t="str">
        <f t="shared" si="82"/>
        <v>Error?</v>
      </c>
    </row>
    <row r="5335" spans="1:4" x14ac:dyDescent="0.2">
      <c r="A5335" s="5">
        <v>5274</v>
      </c>
      <c r="B5335" s="138">
        <f>'Revenues 9-14'!D14</f>
        <v>5</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5</v>
      </c>
      <c r="C5339" s="2" t="s">
        <v>573</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57</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9217</v>
      </c>
      <c r="D5354" s="2" t="str">
        <f t="shared" si="82"/>
        <v>Error?</v>
      </c>
    </row>
    <row r="5355" spans="1:4" x14ac:dyDescent="0.2">
      <c r="A5355" s="5">
        <v>5294</v>
      </c>
      <c r="B5355" s="138">
        <f>'Revenues 9-14'!D108</f>
        <v>9274</v>
      </c>
      <c r="C5355" s="2" t="s">
        <v>573</v>
      </c>
      <c r="D5355" s="2" t="str">
        <f t="shared" si="82"/>
        <v>Error?</v>
      </c>
    </row>
    <row r="5356" spans="1:4" x14ac:dyDescent="0.2">
      <c r="A5356" s="5">
        <v>5295</v>
      </c>
      <c r="B5356" s="138">
        <f>'Revenues 9-14'!D109</f>
        <v>328554</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328554</v>
      </c>
      <c r="C5508" s="2" t="s">
        <v>573</v>
      </c>
      <c r="D5508" s="2" t="str">
        <f t="shared" si="85"/>
        <v>Error?</v>
      </c>
    </row>
    <row r="5509" spans="1:4" x14ac:dyDescent="0.2">
      <c r="A5509" s="5">
        <v>5448</v>
      </c>
      <c r="B5509" s="138">
        <f>'Revenues 9-14'!E5</f>
        <v>366169</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366169</v>
      </c>
      <c r="C5513" s="2" t="s">
        <v>573</v>
      </c>
      <c r="D5513" s="2" t="str">
        <f t="shared" si="85"/>
        <v>Error?</v>
      </c>
    </row>
    <row r="5514" spans="1:4" x14ac:dyDescent="0.2">
      <c r="A5514" s="5">
        <v>5453</v>
      </c>
      <c r="B5514" s="138">
        <f>'Revenues 9-14'!E14</f>
        <v>5</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5</v>
      </c>
      <c r="C5518" s="2" t="s">
        <v>573</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366174</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366174</v>
      </c>
      <c r="C5552" s="2" t="s">
        <v>573</v>
      </c>
      <c r="D5552" s="2" t="str">
        <f t="shared" si="85"/>
        <v>Error?</v>
      </c>
    </row>
    <row r="5553" spans="1:4" x14ac:dyDescent="0.2">
      <c r="A5553" s="5">
        <v>5492</v>
      </c>
      <c r="B5553" s="138">
        <f>'Revenues 9-14'!F5</f>
        <v>121632</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121632</v>
      </c>
      <c r="C5557" s="2" t="s">
        <v>573</v>
      </c>
      <c r="D5557" s="2" t="str">
        <f t="shared" si="85"/>
        <v>Error?</v>
      </c>
    </row>
    <row r="5558" spans="1:4" x14ac:dyDescent="0.2">
      <c r="A5558" s="5">
        <v>5497</v>
      </c>
      <c r="B5558" s="138">
        <f>'Revenues 9-14'!F14</f>
        <v>2</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2</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121634</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45058</v>
      </c>
      <c r="D5615" s="2" t="str">
        <f t="shared" si="86"/>
        <v>Error?</v>
      </c>
    </row>
    <row r="5616" spans="1:4" x14ac:dyDescent="0.2">
      <c r="A5616" s="10">
        <v>5555</v>
      </c>
      <c r="D5616" s="2" t="str">
        <f t="shared" si="86"/>
        <v>OK</v>
      </c>
    </row>
    <row r="5617" spans="1:5" x14ac:dyDescent="0.2">
      <c r="A5617" s="5">
        <v>5556</v>
      </c>
      <c r="B5617" s="138">
        <f>'Revenues 9-14'!F153</f>
        <v>60844</v>
      </c>
      <c r="D5617" s="2" t="str">
        <f t="shared" si="86"/>
        <v>Error?</v>
      </c>
    </row>
    <row r="5618" spans="1:5" x14ac:dyDescent="0.2">
      <c r="A5618" s="5">
        <v>5557</v>
      </c>
      <c r="B5618" s="138">
        <f>'Revenues 9-14'!F155</f>
        <v>105902</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105902</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105902</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227536</v>
      </c>
      <c r="C5720" s="2" t="s">
        <v>573</v>
      </c>
      <c r="D5720" s="2" t="str">
        <f t="shared" si="88"/>
        <v>Error?</v>
      </c>
    </row>
    <row r="5721" spans="1:4" x14ac:dyDescent="0.2">
      <c r="A5721" s="5">
        <v>5660</v>
      </c>
      <c r="B5721" s="138">
        <f>'Revenues 9-14'!G5</f>
        <v>23478</v>
      </c>
      <c r="D5721" s="2" t="str">
        <f t="shared" si="88"/>
        <v>Error?</v>
      </c>
    </row>
    <row r="5722" spans="1:4" x14ac:dyDescent="0.2">
      <c r="A5722" s="5">
        <v>5661</v>
      </c>
      <c r="B5722" s="138">
        <f>'Revenues 9-14'!G7</f>
        <v>0</v>
      </c>
      <c r="D5722" s="2" t="str">
        <f t="shared" si="88"/>
        <v>Error?</v>
      </c>
    </row>
    <row r="5723" spans="1:4" x14ac:dyDescent="0.2">
      <c r="A5723" s="5">
        <v>5662</v>
      </c>
      <c r="B5723" s="138">
        <f>'Revenues 9-14'!G8</f>
        <v>23478</v>
      </c>
      <c r="D5723" s="2" t="str">
        <f t="shared" si="88"/>
        <v>Error?</v>
      </c>
    </row>
    <row r="5724" spans="1:4" x14ac:dyDescent="0.2">
      <c r="A5724" s="5">
        <v>5663</v>
      </c>
      <c r="B5724" s="138">
        <f>'Revenues 9-14'!G11</f>
        <v>0</v>
      </c>
      <c r="D5724" s="2" t="str">
        <f t="shared" si="88"/>
        <v>Error?</v>
      </c>
    </row>
    <row r="5725" spans="1:4" x14ac:dyDescent="0.2">
      <c r="A5725" s="5">
        <v>5664</v>
      </c>
      <c r="B5725" s="138">
        <f>'Revenues 9-14'!G12</f>
        <v>46956</v>
      </c>
      <c r="C5725" s="2" t="s">
        <v>573</v>
      </c>
      <c r="D5725" s="2" t="str">
        <f t="shared" si="88"/>
        <v>Error?</v>
      </c>
    </row>
    <row r="5726" spans="1:4" x14ac:dyDescent="0.2">
      <c r="A5726" s="5">
        <v>5665</v>
      </c>
      <c r="B5726" s="138">
        <f>'Revenues 9-14'!G14</f>
        <v>1</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1876</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1877</v>
      </c>
      <c r="C5730" s="2" t="s">
        <v>573</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48833</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100412</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100412</v>
      </c>
      <c r="C5915" s="2" t="s">
        <v>573</v>
      </c>
      <c r="D5915" s="2" t="str">
        <f t="shared" si="91"/>
        <v>Error?</v>
      </c>
    </row>
    <row r="5916" spans="1:4" x14ac:dyDescent="0.2">
      <c r="A5916" s="5">
        <v>5855</v>
      </c>
      <c r="B5916" s="138">
        <f>'Revenues 9-14'!I5</f>
        <v>30408</v>
      </c>
      <c r="D5916" s="2" t="str">
        <f t="shared" si="91"/>
        <v>Error?</v>
      </c>
    </row>
    <row r="5917" spans="1:4" x14ac:dyDescent="0.2">
      <c r="A5917" s="5">
        <v>5856</v>
      </c>
      <c r="B5917" s="138">
        <f>'Revenues 9-14'!I11</f>
        <v>0</v>
      </c>
      <c r="D5917" s="2" t="str">
        <f t="shared" si="91"/>
        <v>Error?</v>
      </c>
    </row>
    <row r="5918" spans="1:4" x14ac:dyDescent="0.2">
      <c r="A5918" s="5">
        <v>5857</v>
      </c>
      <c r="B5918" s="138">
        <f>'Revenues 9-14'!I12</f>
        <v>30408</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30408</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30408</v>
      </c>
      <c r="D5985" s="2" t="str">
        <f t="shared" si="92"/>
        <v>Error?</v>
      </c>
    </row>
    <row r="5986" spans="1:4" x14ac:dyDescent="0.2">
      <c r="A5986" s="5">
        <v>5925</v>
      </c>
      <c r="B5986" s="138">
        <f>'Revenues 9-14'!K11</f>
        <v>0</v>
      </c>
      <c r="D5986" s="2" t="str">
        <f t="shared" si="92"/>
        <v>Error?</v>
      </c>
    </row>
    <row r="5987" spans="1:4" x14ac:dyDescent="0.2">
      <c r="A5987" s="5">
        <v>5926</v>
      </c>
      <c r="B5987" s="138">
        <f>'Revenues 9-14'!K12</f>
        <v>30408</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30408</v>
      </c>
      <c r="C6023" s="2" t="s">
        <v>573</v>
      </c>
      <c r="D6023" s="2" t="str">
        <f t="shared" si="93"/>
        <v>Error?</v>
      </c>
    </row>
    <row r="6024" spans="1:5" x14ac:dyDescent="0.2">
      <c r="A6024" s="5">
        <v>5963</v>
      </c>
      <c r="B6024" s="138">
        <f>'Revenues 9-14'!G109</f>
        <v>48833</v>
      </c>
      <c r="C6024" s="2" t="s">
        <v>573</v>
      </c>
      <c r="D6024" s="2" t="str">
        <f t="shared" si="93"/>
        <v>Error?</v>
      </c>
    </row>
    <row r="6025" spans="1:5" x14ac:dyDescent="0.2">
      <c r="A6025" s="5">
        <v>5964</v>
      </c>
      <c r="B6025" s="138">
        <f>'Revenues 9-14'!H109</f>
        <v>100412</v>
      </c>
      <c r="C6025" s="2" t="s">
        <v>573</v>
      </c>
      <c r="D6025" s="2" t="str">
        <f t="shared" si="93"/>
        <v>Error?</v>
      </c>
    </row>
    <row r="6026" spans="1:5" x14ac:dyDescent="0.2">
      <c r="A6026" s="5">
        <v>5965</v>
      </c>
      <c r="B6026" s="138">
        <f>'Revenues 9-14'!I109</f>
        <v>30408</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30408</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21893</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0</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292.7</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16681</v>
      </c>
      <c r="D6077" s="2" t="str">
        <f t="shared" si="93"/>
        <v>Error?</v>
      </c>
      <c r="E6077" s="2" t="s">
        <v>930</v>
      </c>
    </row>
    <row r="6078" spans="1:5" x14ac:dyDescent="0.2">
      <c r="A6078">
        <v>6017</v>
      </c>
      <c r="B6078" s="138">
        <f>'Short-Term Long-Term Debt 24'!E27</f>
        <v>8543</v>
      </c>
      <c r="D6078" s="2" t="str">
        <f t="shared" si="93"/>
        <v>Error?</v>
      </c>
      <c r="E6078" s="2" t="s">
        <v>930</v>
      </c>
    </row>
    <row r="6079" spans="1:5" x14ac:dyDescent="0.2">
      <c r="A6079">
        <v>6018</v>
      </c>
      <c r="B6079" s="138">
        <f>'Short-Term Long-Term Debt 24'!F27</f>
        <v>8138</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98910</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8138</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98910</v>
      </c>
      <c r="D6215" s="2" t="str">
        <f t="shared" si="96"/>
        <v>Error?</v>
      </c>
      <c r="E6215" s="2" t="s">
        <v>190</v>
      </c>
    </row>
    <row r="6216" spans="1:5" x14ac:dyDescent="0.2">
      <c r="A6216">
        <v>6155</v>
      </c>
      <c r="B6216" s="138">
        <f>'Assets-Liab 5-6'!J41</f>
        <v>98910</v>
      </c>
      <c r="D6216" s="2" t="str">
        <f t="shared" si="96"/>
        <v>Error?</v>
      </c>
      <c r="E6216" s="2" t="s">
        <v>190</v>
      </c>
    </row>
    <row r="6217" spans="1:5" x14ac:dyDescent="0.2">
      <c r="A6217">
        <v>6156</v>
      </c>
      <c r="B6217" s="138">
        <f>'Assets-Liab 5-6'!J4</f>
        <v>98910</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232029</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232029</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232029</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228324</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228324</v>
      </c>
      <c r="D6229" s="2" t="str">
        <f t="shared" si="96"/>
        <v>Error?</v>
      </c>
      <c r="E6229" s="2" t="s">
        <v>190</v>
      </c>
    </row>
    <row r="6230" spans="1:5" x14ac:dyDescent="0.2">
      <c r="A6230">
        <v>6169</v>
      </c>
      <c r="B6230" s="138">
        <f>'Acct Summary 7-8'!J20</f>
        <v>3705</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3705</v>
      </c>
      <c r="D6263" s="2" t="str">
        <f t="shared" si="96"/>
        <v>Error?</v>
      </c>
      <c r="E6263" s="2" t="s">
        <v>190</v>
      </c>
    </row>
    <row r="6264" spans="1:5" x14ac:dyDescent="0.2">
      <c r="A6264">
        <v>6203</v>
      </c>
      <c r="B6264" s="138">
        <f>'Acct Summary 7-8'!J79</f>
        <v>95205</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98910</v>
      </c>
      <c r="D6266" s="2" t="str">
        <f t="shared" si="96"/>
        <v>Error?</v>
      </c>
      <c r="E6266" s="2" t="s">
        <v>190</v>
      </c>
    </row>
    <row r="6267" spans="1:5" x14ac:dyDescent="0.2">
      <c r="A6267">
        <v>6206</v>
      </c>
      <c r="B6267" s="138">
        <f>'Acct Summary 7-8'!C82</f>
        <v>192829</v>
      </c>
      <c r="D6267" s="2" t="str">
        <f t="shared" si="96"/>
        <v>Error?</v>
      </c>
      <c r="E6267" s="2" t="s">
        <v>190</v>
      </c>
    </row>
    <row r="6268" spans="1:5" x14ac:dyDescent="0.2">
      <c r="A6268">
        <v>6207</v>
      </c>
      <c r="B6268" s="138">
        <f>'Acct Summary 7-8'!D82</f>
        <v>49186</v>
      </c>
      <c r="D6268" s="2" t="str">
        <f t="shared" si="96"/>
        <v>Error?</v>
      </c>
      <c r="E6268" s="2" t="s">
        <v>190</v>
      </c>
    </row>
    <row r="6269" spans="1:5" x14ac:dyDescent="0.2">
      <c r="A6269">
        <v>6208</v>
      </c>
      <c r="B6269" s="138">
        <f>'Acct Summary 7-8'!E82</f>
        <v>-60680</v>
      </c>
      <c r="D6269" s="2" t="str">
        <f t="shared" si="96"/>
        <v>Error?</v>
      </c>
      <c r="E6269" s="2" t="s">
        <v>190</v>
      </c>
    </row>
    <row r="6270" spans="1:5" x14ac:dyDescent="0.2">
      <c r="A6270">
        <v>6209</v>
      </c>
      <c r="B6270" s="138">
        <f>'Acct Summary 7-8'!F82</f>
        <v>-8734</v>
      </c>
      <c r="D6270" s="2" t="str">
        <f t="shared" si="96"/>
        <v>Error?</v>
      </c>
      <c r="E6270" s="2" t="s">
        <v>190</v>
      </c>
    </row>
    <row r="6271" spans="1:5" x14ac:dyDescent="0.2">
      <c r="A6271">
        <v>6210</v>
      </c>
      <c r="B6271" s="138">
        <f>'Acct Summary 7-8'!G82</f>
        <v>-18655</v>
      </c>
      <c r="D6271" s="2" t="str">
        <f t="shared" ref="D6271:D6334" si="97">IF(ISBLANK(B6271),"OK",IF(A6271-B6271=0,"OK","Error?"))</f>
        <v>Error?</v>
      </c>
      <c r="E6271" s="2" t="s">
        <v>190</v>
      </c>
    </row>
    <row r="6272" spans="1:5" x14ac:dyDescent="0.2">
      <c r="A6272">
        <v>6211</v>
      </c>
      <c r="B6272" s="138">
        <f>'Acct Summary 7-8'!H82</f>
        <v>-47883</v>
      </c>
      <c r="D6272" s="2" t="str">
        <f t="shared" si="97"/>
        <v>Error?</v>
      </c>
      <c r="E6272" s="2" t="s">
        <v>190</v>
      </c>
    </row>
    <row r="6273" spans="1:5" x14ac:dyDescent="0.2">
      <c r="A6273">
        <v>6212</v>
      </c>
      <c r="B6273" s="138">
        <f>'Acct Summary 7-8'!I82</f>
        <v>-29592</v>
      </c>
      <c r="D6273" s="2" t="str">
        <f t="shared" si="97"/>
        <v>Error?</v>
      </c>
      <c r="E6273" s="2" t="s">
        <v>190</v>
      </c>
    </row>
    <row r="6274" spans="1:5" x14ac:dyDescent="0.2">
      <c r="A6274">
        <v>6213</v>
      </c>
      <c r="B6274" s="138">
        <f>'Acct Summary 7-8'!J82</f>
        <v>3705</v>
      </c>
      <c r="D6274" s="2" t="str">
        <f t="shared" si="97"/>
        <v>Error?</v>
      </c>
      <c r="E6274" s="2" t="s">
        <v>190</v>
      </c>
    </row>
    <row r="6275" spans="1:5" x14ac:dyDescent="0.2">
      <c r="A6275">
        <v>6214</v>
      </c>
      <c r="B6275" s="138">
        <f>'Acct Summary 7-8'!K82</f>
        <v>-882035</v>
      </c>
      <c r="D6275" s="2" t="str">
        <f t="shared" si="97"/>
        <v>Error?</v>
      </c>
      <c r="E6275" s="2" t="s">
        <v>190</v>
      </c>
    </row>
    <row r="6276" spans="1:5" x14ac:dyDescent="0.2">
      <c r="A6276">
        <v>6215</v>
      </c>
      <c r="B6276" s="138">
        <f>'Acct Summary 7-8'!C83</f>
        <v>0.25515898062909459</v>
      </c>
      <c r="D6276" s="2" t="str">
        <f t="shared" si="97"/>
        <v>Error?</v>
      </c>
      <c r="E6276" s="2" t="s">
        <v>190</v>
      </c>
    </row>
    <row r="6277" spans="1:5" x14ac:dyDescent="0.2">
      <c r="A6277">
        <v>6216</v>
      </c>
      <c r="B6277" s="138">
        <f>'Acct Summary 7-8'!D83</f>
        <v>0.24079740334764496</v>
      </c>
      <c r="D6277" s="2" t="str">
        <f t="shared" si="97"/>
        <v>Error?</v>
      </c>
      <c r="E6277" s="2" t="s">
        <v>190</v>
      </c>
    </row>
    <row r="6278" spans="1:5" x14ac:dyDescent="0.2">
      <c r="A6278">
        <v>6217</v>
      </c>
      <c r="B6278" s="138">
        <f>'Acct Summary 7-8'!E83</f>
        <v>-15.639175257731958</v>
      </c>
      <c r="D6278" s="2" t="str">
        <f t="shared" si="97"/>
        <v>Error?</v>
      </c>
      <c r="E6278" s="2" t="s">
        <v>190</v>
      </c>
    </row>
    <row r="6279" spans="1:5" x14ac:dyDescent="0.2">
      <c r="A6279">
        <v>6218</v>
      </c>
      <c r="B6279" s="138">
        <f>'Acct Summary 7-8'!F83</f>
        <v>-0.1369330385839487</v>
      </c>
      <c r="D6279" s="2" t="str">
        <f t="shared" si="97"/>
        <v>Error?</v>
      </c>
      <c r="E6279" s="2" t="s">
        <v>190</v>
      </c>
    </row>
    <row r="6280" spans="1:5" x14ac:dyDescent="0.2">
      <c r="A6280">
        <v>6219</v>
      </c>
      <c r="B6280" s="138">
        <f>'Acct Summary 7-8'!G83</f>
        <v>-0.131537197774691</v>
      </c>
      <c r="D6280" s="2" t="str">
        <f t="shared" si="97"/>
        <v>Error?</v>
      </c>
      <c r="E6280" s="2" t="s">
        <v>190</v>
      </c>
    </row>
    <row r="6281" spans="1:5" x14ac:dyDescent="0.2">
      <c r="A6281">
        <v>6220</v>
      </c>
      <c r="B6281" s="138">
        <f>'Acct Summary 7-8'!H83</f>
        <v>-0.99280530789964749</v>
      </c>
      <c r="D6281" s="2" t="str">
        <f t="shared" si="97"/>
        <v>Error?</v>
      </c>
      <c r="E6281" s="2" t="s">
        <v>190</v>
      </c>
    </row>
    <row r="6282" spans="1:5" x14ac:dyDescent="0.2">
      <c r="A6282">
        <v>6221</v>
      </c>
      <c r="B6282" s="138">
        <f>'Acct Summary 7-8'!I83</f>
        <v>-3.4861611465973642E-2</v>
      </c>
      <c r="D6282" s="2" t="str">
        <f t="shared" si="97"/>
        <v>Error?</v>
      </c>
      <c r="E6282" s="2" t="s">
        <v>190</v>
      </c>
    </row>
    <row r="6283" spans="1:5" x14ac:dyDescent="0.2">
      <c r="A6283">
        <v>6222</v>
      </c>
      <c r="B6283" s="138">
        <f>'Acct Summary 7-8'!J83</f>
        <v>3.7458295420078856E-2</v>
      </c>
      <c r="D6283" s="2" t="str">
        <f t="shared" si="97"/>
        <v>Error?</v>
      </c>
      <c r="E6283" s="2" t="s">
        <v>190</v>
      </c>
    </row>
    <row r="6284" spans="1:5" x14ac:dyDescent="0.2">
      <c r="A6284">
        <v>6223</v>
      </c>
      <c r="B6284" s="138">
        <f>'Acct Summary 7-8'!K83</f>
        <v>-18.642550673176505</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231587</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231587</v>
      </c>
      <c r="D6301" s="2" t="str">
        <f t="shared" si="97"/>
        <v>Error?</v>
      </c>
      <c r="E6301" s="2" t="s">
        <v>190</v>
      </c>
    </row>
    <row r="6302" spans="1:5" x14ac:dyDescent="0.2">
      <c r="A6302">
        <v>6241</v>
      </c>
      <c r="B6302" s="138">
        <f>'Revenues 9-14'!J14</f>
        <v>3</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3</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0</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0</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439</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6200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439</v>
      </c>
      <c r="D6351" s="2" t="str">
        <f t="shared" si="98"/>
        <v>Error?</v>
      </c>
      <c r="E6351" s="2" t="s">
        <v>190</v>
      </c>
    </row>
    <row r="6352" spans="1:5" x14ac:dyDescent="0.2">
      <c r="A6352">
        <v>6291</v>
      </c>
      <c r="B6352" s="138">
        <f>'Revenues 9-14'!J109</f>
        <v>232029</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50680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76505</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14</v>
      </c>
      <c r="D7018" s="2" t="str">
        <f t="shared" si="108"/>
        <v>Error?</v>
      </c>
    </row>
    <row r="7019" spans="1:4" x14ac:dyDescent="0.2">
      <c r="A7019">
        <v>6958</v>
      </c>
      <c r="B7019" s="138">
        <f>'Expenditures 15-22'!K112</f>
        <v>14</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228324</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232029</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2737</v>
      </c>
      <c r="D7073" s="2" t="str">
        <f t="shared" si="109"/>
        <v>Error?</v>
      </c>
    </row>
    <row r="7074" spans="1:4" x14ac:dyDescent="0.2">
      <c r="A7074">
        <v>7013</v>
      </c>
      <c r="B7074" s="138">
        <f>'Expenditures 15-22'!K216</f>
        <v>2737</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18636</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18636</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153515</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4513</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158028</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6010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6010</v>
      </c>
      <c r="D7198" s="2" t="str">
        <f t="shared" si="111"/>
        <v>Error?</v>
      </c>
    </row>
    <row r="7199" spans="1:4" x14ac:dyDescent="0.2">
      <c r="A7199">
        <v>7138</v>
      </c>
      <c r="B7199" s="138">
        <f>'Expenditures 15-22'!C330</f>
        <v>153515</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74809</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228324</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153515</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74809</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228324</v>
      </c>
      <c r="D7224" s="2" t="str">
        <f t="shared" si="111"/>
        <v>Error?</v>
      </c>
    </row>
    <row r="7225" spans="1:4" x14ac:dyDescent="0.2">
      <c r="A7225">
        <v>7164</v>
      </c>
      <c r="B7225" s="138">
        <f>'Expenditures 15-22'!K343</f>
        <v>3705</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16000</v>
      </c>
      <c r="D7240" s="2" t="str">
        <f t="shared" si="112"/>
        <v>Error?</v>
      </c>
    </row>
    <row r="7241" spans="1:4" x14ac:dyDescent="0.2">
      <c r="A7241">
        <v>7180</v>
      </c>
      <c r="B7241" s="138">
        <f>'Expenditures 15-22'!K363</f>
        <v>16000</v>
      </c>
      <c r="D7241" s="2" t="str">
        <f t="shared" si="112"/>
        <v>Error?</v>
      </c>
    </row>
    <row r="7242" spans="1:4" x14ac:dyDescent="0.2">
      <c r="A7242">
        <v>7181</v>
      </c>
      <c r="B7242" s="138">
        <f>'Expenditures 15-22'!H365</f>
        <v>16000</v>
      </c>
      <c r="D7242" s="2" t="str">
        <f t="shared" si="112"/>
        <v>Error?</v>
      </c>
    </row>
    <row r="7243" spans="1:4" x14ac:dyDescent="0.2">
      <c r="A7243">
        <v>7182</v>
      </c>
      <c r="B7243" s="138">
        <f>'Expenditures 15-22'!K365</f>
        <v>16000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15635</v>
      </c>
      <c r="D7246" s="2" t="str">
        <f t="shared" si="112"/>
        <v>Error?</v>
      </c>
    </row>
    <row r="7247" spans="1:4" x14ac:dyDescent="0.2">
      <c r="A7247">
        <f t="shared" si="113"/>
        <v>7186</v>
      </c>
      <c r="B7247" s="138">
        <f>'Expenditures 15-22'!E7</f>
        <v>2324</v>
      </c>
      <c r="D7247" s="2" t="str">
        <f t="shared" si="112"/>
        <v>Error?</v>
      </c>
    </row>
    <row r="7248" spans="1:4" x14ac:dyDescent="0.2">
      <c r="A7248">
        <f t="shared" si="113"/>
        <v>7187</v>
      </c>
      <c r="B7248" s="138">
        <f>'Expenditures 15-22'!F7</f>
        <v>6385</v>
      </c>
      <c r="D7248" s="2" t="str">
        <f t="shared" si="112"/>
        <v>Error?</v>
      </c>
    </row>
    <row r="7249" spans="1:4" x14ac:dyDescent="0.2">
      <c r="A7249">
        <f t="shared" si="113"/>
        <v>7188</v>
      </c>
      <c r="B7249" s="138">
        <f>'Expenditures 15-22'!G7</f>
        <v>1481</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214205</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45650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45650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84756</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6200</v>
      </c>
      <c r="D7712" s="2" t="str">
        <f t="shared" si="126"/>
        <v>Error?</v>
      </c>
      <c r="E7712" s="2" t="s">
        <v>827</v>
      </c>
    </row>
    <row r="7713" spans="1:6" x14ac:dyDescent="0.2">
      <c r="A7713">
        <v>7652</v>
      </c>
      <c r="B7713" s="138">
        <f>'Rest Tax Levies-Tort Im 25'!J8</f>
        <v>100412</v>
      </c>
      <c r="D7713" s="2" t="str">
        <f t="shared" si="126"/>
        <v>Error?</v>
      </c>
      <c r="E7713" s="2" t="s">
        <v>827</v>
      </c>
    </row>
    <row r="7714" spans="1:6" x14ac:dyDescent="0.2">
      <c r="A7714">
        <v>7653</v>
      </c>
      <c r="B7714" s="138">
        <f>'Rest Tax Levies-Tort Im 25'!K9</f>
        <v>4667</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100412</v>
      </c>
      <c r="D7718" s="2" t="str">
        <f t="shared" si="126"/>
        <v>Error?</v>
      </c>
      <c r="E7718" s="2" t="s">
        <v>827</v>
      </c>
    </row>
    <row r="7719" spans="1:6" x14ac:dyDescent="0.2">
      <c r="A7719">
        <v>7658</v>
      </c>
      <c r="B7719" s="138">
        <f>'Rest Tax Levies-Tort Im 25'!K12</f>
        <v>10867</v>
      </c>
      <c r="D7719" s="2" t="str">
        <f t="shared" si="126"/>
        <v>Error?</v>
      </c>
      <c r="E7719" s="2" t="s">
        <v>827</v>
      </c>
    </row>
    <row r="7720" spans="1:6" x14ac:dyDescent="0.2">
      <c r="A7720">
        <v>7659</v>
      </c>
      <c r="B7720" s="138">
        <f>'Rest Tax Levies-Tort Im 25'!H14</f>
        <v>24325</v>
      </c>
      <c r="D7720" s="2" t="str">
        <f t="shared" si="126"/>
        <v>Error?</v>
      </c>
      <c r="E7720" s="2" t="s">
        <v>827</v>
      </c>
    </row>
    <row r="7721" spans="1:6" x14ac:dyDescent="0.2">
      <c r="A7721">
        <v>7660</v>
      </c>
      <c r="B7721" s="138">
        <f>'Rest Tax Levies-Tort Im 25'!K14</f>
        <v>10867</v>
      </c>
      <c r="D7721" s="2" t="str">
        <f t="shared" si="126"/>
        <v>Error?</v>
      </c>
      <c r="E7721" s="2" t="s">
        <v>827</v>
      </c>
    </row>
    <row r="7722" spans="1:6" x14ac:dyDescent="0.2">
      <c r="A7722">
        <v>7661</v>
      </c>
      <c r="B7722" s="138">
        <f>'Rest Tax Levies-Tort Im 25'!J15</f>
        <v>148295</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148295</v>
      </c>
      <c r="D7730" s="2" t="str">
        <f t="shared" si="126"/>
        <v>Error?</v>
      </c>
      <c r="E7730" s="2" t="s">
        <v>827</v>
      </c>
    </row>
    <row r="7731" spans="1:6" x14ac:dyDescent="0.2">
      <c r="A7731">
        <v>7670</v>
      </c>
      <c r="B7731" s="138">
        <f>'Revenues 9-14'!H103</f>
        <v>100412</v>
      </c>
      <c r="D7731" s="2" t="str">
        <f t="shared" si="126"/>
        <v>Error?</v>
      </c>
      <c r="E7731" s="2" t="s">
        <v>827</v>
      </c>
    </row>
    <row r="7732" spans="1:6" x14ac:dyDescent="0.2">
      <c r="A7732">
        <v>7671</v>
      </c>
      <c r="B7732" s="138">
        <f>'Rest Tax Levies-Tort Im 25'!J24</f>
        <v>36873</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36873</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60000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1854</v>
      </c>
    </row>
    <row r="7775" spans="1:5" x14ac:dyDescent="0.2">
      <c r="A7775">
        <v>7714</v>
      </c>
      <c r="B7775" s="138">
        <f>'Expenditures 15-22'!H133</f>
        <v>0</v>
      </c>
      <c r="D7775" s="2" t="str">
        <f t="shared" si="127"/>
        <v>Error?</v>
      </c>
      <c r="E7775" s="4" t="s">
        <v>1854</v>
      </c>
    </row>
    <row r="7776" spans="1:5" x14ac:dyDescent="0.2">
      <c r="A7776">
        <v>7715</v>
      </c>
      <c r="B7776" s="138">
        <f>'Expenditures 15-22'!K133</f>
        <v>0</v>
      </c>
      <c r="D7776" s="2" t="str">
        <f t="shared" si="127"/>
        <v>Error?</v>
      </c>
      <c r="E7776" s="4" t="s">
        <v>1854</v>
      </c>
    </row>
    <row r="7777" spans="1:5" x14ac:dyDescent="0.2">
      <c r="A7777">
        <v>7716</v>
      </c>
      <c r="B7777" s="138">
        <f>'Expenditures 15-22'!H157</f>
        <v>0</v>
      </c>
      <c r="D7777" s="2" t="str">
        <f t="shared" si="127"/>
        <v>Error?</v>
      </c>
      <c r="E7777" s="4" t="s">
        <v>1854</v>
      </c>
    </row>
    <row r="7778" spans="1:5" x14ac:dyDescent="0.2">
      <c r="A7778">
        <v>7717</v>
      </c>
      <c r="B7778" s="138">
        <f>'Expenditures 15-22'!K157</f>
        <v>0</v>
      </c>
      <c r="D7778" s="2" t="str">
        <f t="shared" si="127"/>
        <v>Error?</v>
      </c>
      <c r="E7778" s="4" t="s">
        <v>1854</v>
      </c>
    </row>
    <row r="7779" spans="1:5" x14ac:dyDescent="0.2">
      <c r="A7779">
        <v>7718</v>
      </c>
      <c r="B7779" s="138">
        <f>'Expenditures 15-22'!H158</f>
        <v>0</v>
      </c>
      <c r="D7779" s="2" t="str">
        <f t="shared" si="127"/>
        <v>Error?</v>
      </c>
      <c r="E7779" s="4" t="s">
        <v>1854</v>
      </c>
    </row>
    <row r="7780" spans="1:5" x14ac:dyDescent="0.2">
      <c r="A7780">
        <v>7719</v>
      </c>
      <c r="B7780" s="138">
        <f>'Expenditures 15-22'!K158</f>
        <v>0</v>
      </c>
      <c r="D7780" s="2" t="str">
        <f t="shared" si="127"/>
        <v>Error?</v>
      </c>
      <c r="E7780" s="4" t="s">
        <v>1854</v>
      </c>
    </row>
    <row r="7781" spans="1:5" x14ac:dyDescent="0.2">
      <c r="A7781">
        <v>7720</v>
      </c>
      <c r="B7781" s="138">
        <f>'Expenditures 15-22'!H159</f>
        <v>0</v>
      </c>
      <c r="D7781" s="2" t="str">
        <f t="shared" si="127"/>
        <v>Error?</v>
      </c>
      <c r="E7781" s="4" t="s">
        <v>1854</v>
      </c>
    </row>
    <row r="7782" spans="1:5" x14ac:dyDescent="0.2">
      <c r="A7782">
        <v>7721</v>
      </c>
      <c r="B7782" s="138">
        <f>'Expenditures 15-22'!K159</f>
        <v>0</v>
      </c>
      <c r="D7782" s="2" t="str">
        <f t="shared" si="127"/>
        <v>Error?</v>
      </c>
      <c r="E7782" s="4" t="s">
        <v>1854</v>
      </c>
    </row>
    <row r="7783" spans="1:5" x14ac:dyDescent="0.2">
      <c r="A7783">
        <v>7722</v>
      </c>
      <c r="B7783" s="138">
        <f>'Expenditures 15-22'!D282</f>
        <v>0</v>
      </c>
      <c r="D7783" s="2" t="str">
        <f t="shared" si="127"/>
        <v>Error?</v>
      </c>
      <c r="E7783" s="4" t="s">
        <v>1854</v>
      </c>
    </row>
    <row r="7784" spans="1:5" x14ac:dyDescent="0.2">
      <c r="A7784">
        <v>7723</v>
      </c>
      <c r="B7784" s="138">
        <f>'Expenditures 15-22'!K282</f>
        <v>0</v>
      </c>
      <c r="D7784" s="2" t="str">
        <f t="shared" si="127"/>
        <v>Error?</v>
      </c>
      <c r="E7784" s="4" t="s">
        <v>1854</v>
      </c>
    </row>
    <row r="7785" spans="1:5" x14ac:dyDescent="0.2">
      <c r="A7785">
        <v>7724</v>
      </c>
      <c r="B7785" s="138">
        <f>'Expenditures 15-22'!H332</f>
        <v>0</v>
      </c>
      <c r="D7785" s="2" t="str">
        <f t="shared" si="127"/>
        <v>Error?</v>
      </c>
      <c r="E7785" s="4" t="s">
        <v>1854</v>
      </c>
    </row>
    <row r="7786" spans="1:5" x14ac:dyDescent="0.2">
      <c r="A7786">
        <v>7725</v>
      </c>
      <c r="B7786" s="138">
        <f>'Expenditures 15-22'!K332</f>
        <v>0</v>
      </c>
      <c r="D7786" s="2" t="str">
        <f t="shared" si="127"/>
        <v>Error?</v>
      </c>
      <c r="E7786" s="4" t="s">
        <v>1854</v>
      </c>
    </row>
    <row r="7787" spans="1:5" x14ac:dyDescent="0.2">
      <c r="A7787">
        <v>7726</v>
      </c>
      <c r="B7787" s="138">
        <f>'Expenditures 15-22'!H333</f>
        <v>0</v>
      </c>
      <c r="D7787" s="2" t="str">
        <f t="shared" si="127"/>
        <v>Error?</v>
      </c>
      <c r="E7787" s="4" t="s">
        <v>1854</v>
      </c>
    </row>
    <row r="7788" spans="1:5" x14ac:dyDescent="0.2">
      <c r="A7788">
        <v>7727</v>
      </c>
      <c r="B7788" s="138">
        <f>'Expenditures 15-22'!K333</f>
        <v>0</v>
      </c>
      <c r="D7788" s="2" t="str">
        <f t="shared" si="127"/>
        <v>Error?</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f>'Expenditures 15-22'!H354</f>
        <v>0</v>
      </c>
      <c r="D7791" s="2" t="str">
        <f t="shared" si="127"/>
        <v>Error?</v>
      </c>
      <c r="E7791" s="4" t="s">
        <v>1854</v>
      </c>
    </row>
    <row r="7792" spans="1:5" x14ac:dyDescent="0.2">
      <c r="A7792">
        <v>7731</v>
      </c>
      <c r="B7792" s="138">
        <f>'Expenditures 15-22'!K354</f>
        <v>0</v>
      </c>
      <c r="D7792" s="2" t="str">
        <f t="shared" si="127"/>
        <v>Error?</v>
      </c>
      <c r="E7792" s="4" t="s">
        <v>1854</v>
      </c>
    </row>
    <row r="7793" spans="1:5" x14ac:dyDescent="0.2">
      <c r="A7793">
        <v>7732</v>
      </c>
      <c r="B7793" s="138">
        <f>'Expenditures 15-22'!H355</f>
        <v>0</v>
      </c>
      <c r="D7793" s="2" t="str">
        <f t="shared" si="127"/>
        <v>Error?</v>
      </c>
      <c r="E7793" s="4" t="s">
        <v>1854</v>
      </c>
    </row>
    <row r="7794" spans="1:5" x14ac:dyDescent="0.2">
      <c r="A7794">
        <v>7733</v>
      </c>
      <c r="B7794" s="138">
        <f>'Expenditures 15-22'!K355</f>
        <v>0</v>
      </c>
      <c r="D7794" s="2" t="str">
        <f t="shared" si="127"/>
        <v>Error?</v>
      </c>
      <c r="E7794" s="4" t="s">
        <v>1854</v>
      </c>
    </row>
    <row r="7795" spans="1:5" x14ac:dyDescent="0.2">
      <c r="A7795">
        <v>7734</v>
      </c>
      <c r="B7795" s="138">
        <f>'Expenditures 15-22'!E138</f>
        <v>0</v>
      </c>
      <c r="D7795" s="2" t="str">
        <f t="shared" si="127"/>
        <v>Error?</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29'!D142</f>
        <v>0</v>
      </c>
      <c r="D7797" s="2" t="str">
        <f t="shared" si="127"/>
        <v>Error?</v>
      </c>
      <c r="E7797" s="4" t="s">
        <v>1903</v>
      </c>
    </row>
    <row r="7798" spans="1:5" x14ac:dyDescent="0.2">
      <c r="A7798">
        <v>7737</v>
      </c>
      <c r="B7798" s="138">
        <f>'Contracts Paid in CY 29'!F142</f>
        <v>0</v>
      </c>
      <c r="D7798" s="2" t="str">
        <f t="shared" si="127"/>
        <v>Error?</v>
      </c>
      <c r="E7798" s="4" t="s">
        <v>1903</v>
      </c>
    </row>
    <row r="7799" spans="1:5" x14ac:dyDescent="0.2">
      <c r="A7799">
        <v>7738</v>
      </c>
      <c r="B7799" s="138">
        <f>'Contracts Paid in CY 29'!G142</f>
        <v>0</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8" t="s">
        <v>1191</v>
      </c>
      <c r="B2" s="2408"/>
      <c r="C2" s="2408"/>
      <c r="D2" s="2408"/>
      <c r="E2" s="2408"/>
      <c r="F2" s="2408"/>
      <c r="G2" s="2408"/>
      <c r="H2" s="2408"/>
      <c r="I2" s="2408"/>
      <c r="J2" s="2408"/>
      <c r="K2" s="2408"/>
      <c r="L2" s="2408"/>
    </row>
    <row r="3" spans="1:29" ht="13.5" customHeight="1" x14ac:dyDescent="0.2">
      <c r="A3" s="2394" t="s">
        <v>1190</v>
      </c>
      <c r="B3" s="2394"/>
      <c r="C3" s="2394"/>
      <c r="D3" s="2394"/>
      <c r="E3" s="2394"/>
      <c r="F3" s="2394"/>
      <c r="G3" s="2394"/>
      <c r="H3" s="2394"/>
      <c r="I3" s="2394"/>
      <c r="J3" s="2394"/>
      <c r="K3" s="2394"/>
      <c r="L3" s="2394"/>
    </row>
    <row r="4" spans="1:29" ht="13.5" customHeight="1" x14ac:dyDescent="0.2">
      <c r="A4" s="2408" t="s">
        <v>1987</v>
      </c>
      <c r="B4" s="2425"/>
      <c r="C4" s="2425"/>
      <c r="D4" s="2425"/>
      <c r="E4" s="2425"/>
      <c r="F4" s="2425"/>
      <c r="G4" s="2425"/>
      <c r="H4" s="2425"/>
      <c r="I4" s="2425"/>
      <c r="J4" s="2425"/>
      <c r="K4" s="2425"/>
      <c r="L4" s="2425"/>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88" t="str">
        <f>COVER!A17</f>
        <v>Bement CUSD 5</v>
      </c>
      <c r="B7" s="2389"/>
      <c r="C7" s="2389"/>
      <c r="D7" s="2426"/>
      <c r="E7" s="2427">
        <f>COVER!A13</f>
        <v>39074005026</v>
      </c>
      <c r="F7" s="2428"/>
      <c r="G7" s="2395" t="str">
        <f>COVER!T23</f>
        <v>065.018319</v>
      </c>
      <c r="H7" s="2396"/>
      <c r="I7" s="2396"/>
      <c r="J7" s="2396"/>
      <c r="K7" s="2396"/>
      <c r="L7" s="2397"/>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398"/>
      <c r="B9" s="2399"/>
      <c r="C9" s="2399"/>
      <c r="D9" s="2399"/>
      <c r="E9" s="2399"/>
      <c r="F9" s="2400"/>
      <c r="G9" s="2401" t="str">
        <f>COVER!T13</f>
        <v>RUSSELL LEIGH &amp; ASSOCIATES LLC</v>
      </c>
      <c r="H9" s="2402"/>
      <c r="I9" s="2402"/>
      <c r="J9" s="2402"/>
      <c r="K9" s="2402"/>
      <c r="L9" s="2403"/>
    </row>
    <row r="10" spans="1:29" ht="13.5" customHeight="1" x14ac:dyDescent="0.2">
      <c r="A10" s="2385" t="str">
        <f>COVER!A38</f>
        <v>SHEILA GREENWOOD</v>
      </c>
      <c r="B10" s="2386"/>
      <c r="C10" s="2386"/>
      <c r="D10" s="2386"/>
      <c r="E10" s="2386"/>
      <c r="F10" s="2387"/>
      <c r="G10" s="2401" t="str">
        <f>COVER!T17</f>
        <v>228 E MAIN ST</v>
      </c>
      <c r="H10" s="2414"/>
      <c r="I10" s="2414"/>
      <c r="J10" s="2414"/>
      <c r="K10" s="2414"/>
      <c r="L10" s="2415"/>
    </row>
    <row r="11" spans="1:29" ht="13.5" customHeight="1" x14ac:dyDescent="0.2">
      <c r="A11" s="1184" t="s">
        <v>1519</v>
      </c>
      <c r="B11" s="1185"/>
      <c r="C11" s="1186"/>
      <c r="D11" s="1191"/>
      <c r="E11" s="1186"/>
      <c r="F11" s="1190"/>
      <c r="G11" s="2401" t="str">
        <f>COVER!T19</f>
        <v>HOOPESTON</v>
      </c>
      <c r="H11" s="2414"/>
      <c r="I11" s="2414"/>
      <c r="J11" s="2414"/>
      <c r="K11" s="2414"/>
      <c r="L11" s="2415"/>
    </row>
    <row r="12" spans="1:29" ht="13.5" customHeight="1" x14ac:dyDescent="0.2">
      <c r="A12" s="2419" t="s">
        <v>1518</v>
      </c>
      <c r="B12" s="2420"/>
      <c r="C12" s="2420"/>
      <c r="D12" s="2420"/>
      <c r="E12" s="2420"/>
      <c r="F12" s="2421"/>
      <c r="G12" s="2416"/>
      <c r="H12" s="2417"/>
      <c r="I12" s="2417"/>
      <c r="J12" s="2417"/>
      <c r="K12" s="2417"/>
      <c r="L12" s="2418"/>
    </row>
    <row r="13" spans="1:29" ht="13.5" customHeight="1" x14ac:dyDescent="0.2">
      <c r="A13" s="2401"/>
      <c r="B13" s="2414"/>
      <c r="C13" s="2414"/>
      <c r="D13" s="2414"/>
      <c r="E13" s="2414"/>
      <c r="F13" s="2415"/>
      <c r="G13" s="2409" t="s">
        <v>1520</v>
      </c>
      <c r="H13" s="2410"/>
      <c r="I13" s="2422" t="str">
        <f>COVER!T25</f>
        <v>admin@russleigh.com</v>
      </c>
      <c r="J13" s="2423"/>
      <c r="K13" s="2423"/>
      <c r="L13" s="2424"/>
    </row>
    <row r="14" spans="1:29" ht="13.5" customHeight="1" x14ac:dyDescent="0.2">
      <c r="A14" s="2401" t="str">
        <f>COVER!A19</f>
        <v>201 S CHAMPAIGN ST</v>
      </c>
      <c r="B14" s="2414"/>
      <c r="C14" s="2414"/>
      <c r="D14" s="2414"/>
      <c r="E14" s="2414"/>
      <c r="F14" s="2415"/>
      <c r="G14" s="1195" t="s">
        <v>1185</v>
      </c>
      <c r="H14" s="1193"/>
      <c r="I14" s="1193"/>
      <c r="J14" s="1193"/>
      <c r="K14" s="1193"/>
      <c r="L14" s="1194"/>
    </row>
    <row r="15" spans="1:29" ht="13.5" customHeight="1" x14ac:dyDescent="0.2">
      <c r="A15" s="2401" t="str">
        <f>COVER!A21</f>
        <v>BEMENT</v>
      </c>
      <c r="B15" s="2414"/>
      <c r="C15" s="2414"/>
      <c r="D15" s="2414"/>
      <c r="E15" s="2414"/>
      <c r="F15" s="2415"/>
      <c r="G15" s="2411" t="str">
        <f>COVER!T15</f>
        <v>RUSS LEIGH</v>
      </c>
      <c r="H15" s="2412"/>
      <c r="I15" s="2412"/>
      <c r="J15" s="2412"/>
      <c r="K15" s="2412"/>
      <c r="L15" s="2413"/>
    </row>
    <row r="16" spans="1:29" ht="12.2" customHeight="1" x14ac:dyDescent="0.2">
      <c r="A16" s="2391">
        <f>COVER!A25</f>
        <v>61813</v>
      </c>
      <c r="B16" s="2392"/>
      <c r="C16" s="2392"/>
      <c r="D16" s="2392"/>
      <c r="E16" s="2392"/>
      <c r="F16" s="2393"/>
      <c r="G16" s="2404"/>
      <c r="H16" s="2405"/>
      <c r="I16" s="2405"/>
      <c r="J16" s="2405"/>
      <c r="K16" s="2405"/>
      <c r="L16" s="2406"/>
    </row>
    <row r="17" spans="1:13" ht="12.2" customHeight="1" x14ac:dyDescent="0.2">
      <c r="A17" s="2407"/>
      <c r="B17" s="2392"/>
      <c r="C17" s="2392"/>
      <c r="D17" s="2392"/>
      <c r="E17" s="2392"/>
      <c r="F17" s="2393"/>
      <c r="G17" s="1195" t="s">
        <v>1184</v>
      </c>
      <c r="H17" s="1193"/>
      <c r="I17" s="1193"/>
      <c r="J17" s="1193"/>
      <c r="K17" s="1197" t="s">
        <v>1183</v>
      </c>
      <c r="L17" s="1190"/>
      <c r="M17" s="1183"/>
    </row>
    <row r="18" spans="1:13" ht="12.2" customHeight="1" x14ac:dyDescent="0.2">
      <c r="A18" s="2385"/>
      <c r="B18" s="2386"/>
      <c r="C18" s="2386"/>
      <c r="D18" s="2386"/>
      <c r="E18" s="2386"/>
      <c r="F18" s="2387"/>
      <c r="G18" s="2388" t="str">
        <f>COVER!T21</f>
        <v>217-283-9336</v>
      </c>
      <c r="H18" s="2389"/>
      <c r="I18" s="2389"/>
      <c r="J18" s="2389"/>
      <c r="K18" s="2388" t="str">
        <f>COVER!X21</f>
        <v>217-283-9736</v>
      </c>
      <c r="L18" s="2390"/>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5"/>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9" t="str">
        <f>'Single Audit Cover'!A7</f>
        <v>Bement CUSD 5</v>
      </c>
      <c r="B1" s="2425"/>
      <c r="C1" s="2425"/>
      <c r="D1" s="2425"/>
    </row>
    <row r="2" spans="1:11" s="1212" customFormat="1" ht="12.75" x14ac:dyDescent="0.2">
      <c r="A2" s="2430">
        <f>'Single Audit Cover'!E7</f>
        <v>39074005026</v>
      </c>
      <c r="B2" s="2431"/>
      <c r="C2" s="2431"/>
      <c r="D2" s="2431"/>
    </row>
    <row r="3" spans="1:11" s="1212" customFormat="1" ht="12.75" x14ac:dyDescent="0.2">
      <c r="A3" s="2429" t="s">
        <v>1513</v>
      </c>
      <c r="B3" s="2425"/>
      <c r="C3" s="2425"/>
      <c r="D3" s="2425"/>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3" t="str">
        <f>'Single Audit Cover'!A7</f>
        <v>Bement CUSD 5</v>
      </c>
      <c r="B1" s="2433"/>
      <c r="C1" s="2433"/>
      <c r="D1" s="2433"/>
      <c r="E1" s="2433"/>
    </row>
    <row r="2" spans="1:5" x14ac:dyDescent="0.2">
      <c r="A2" s="2434">
        <f>'Single Audit Cover'!E7</f>
        <v>39074005026</v>
      </c>
      <c r="B2" s="2434"/>
      <c r="C2" s="2434"/>
      <c r="D2" s="2434"/>
      <c r="E2" s="2434"/>
    </row>
    <row r="3" spans="1:5" ht="4.5" customHeight="1" x14ac:dyDescent="0.2"/>
    <row r="4" spans="1:5" x14ac:dyDescent="0.2">
      <c r="A4" s="2433" t="s">
        <v>1245</v>
      </c>
      <c r="B4" s="2433"/>
      <c r="C4" s="2433"/>
      <c r="D4" s="2433"/>
      <c r="E4" s="2433"/>
    </row>
    <row r="5" spans="1:5" x14ac:dyDescent="0.2">
      <c r="A5" s="2436" t="str">
        <f>'Single Audit Cover'!A4</f>
        <v>Year Ending June 30, 2019</v>
      </c>
      <c r="B5" s="2436"/>
      <c r="C5" s="2436"/>
      <c r="D5" s="2436"/>
      <c r="E5" s="2436"/>
    </row>
    <row r="6" spans="1:5" x14ac:dyDescent="0.2">
      <c r="A6" s="2433" t="s">
        <v>1244</v>
      </c>
      <c r="B6" s="2433"/>
      <c r="C6" s="2433"/>
      <c r="D6" s="2433"/>
      <c r="E6" s="2433"/>
    </row>
    <row r="8" spans="1:5" x14ac:dyDescent="0.2">
      <c r="A8" s="1257" t="s">
        <v>1243</v>
      </c>
    </row>
    <row r="10" spans="1:5" x14ac:dyDescent="0.2">
      <c r="A10" s="1258" t="s">
        <v>1242</v>
      </c>
      <c r="B10" s="1259" t="s">
        <v>1241</v>
      </c>
      <c r="C10" s="1259"/>
      <c r="D10" s="1260">
        <f>SUM('Acct Summary 7-8'!C7:K7)</f>
        <v>169509</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0</v>
      </c>
    </row>
    <row r="15" spans="1:5" x14ac:dyDescent="0.2">
      <c r="A15" s="1258"/>
      <c r="B15" s="1259"/>
      <c r="C15" s="1259"/>
    </row>
    <row r="16" spans="1:5" x14ac:dyDescent="0.2">
      <c r="A16" s="1258" t="s">
        <v>1843</v>
      </c>
      <c r="B16" s="1259"/>
      <c r="C16" s="1259"/>
    </row>
    <row r="17" spans="1:4" x14ac:dyDescent="0.2">
      <c r="A17" s="1258" t="s">
        <v>2059</v>
      </c>
      <c r="B17" s="1259" t="s">
        <v>1236</v>
      </c>
      <c r="C17" s="1259"/>
      <c r="D17" s="1261">
        <f>-SUM('Revenues 9-14'!C264:D264,'Revenues 9-14'!F264:G264)</f>
        <v>0</v>
      </c>
    </row>
    <row r="19" spans="1:4" ht="13.5" thickBot="1" x14ac:dyDescent="0.25">
      <c r="A19" s="1262" t="s">
        <v>1235</v>
      </c>
      <c r="D19" s="1263">
        <f>SUM(D10:D17)</f>
        <v>169509</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5"/>
      <c r="B24" s="2435"/>
      <c r="D24" s="1265"/>
    </row>
    <row r="25" spans="1:4" x14ac:dyDescent="0.2">
      <c r="A25" s="2432"/>
      <c r="B25" s="2432"/>
      <c r="D25" s="1265"/>
    </row>
    <row r="26" spans="1:4" x14ac:dyDescent="0.2">
      <c r="A26" s="2432"/>
      <c r="B26" s="2432"/>
      <c r="D26" s="1265"/>
    </row>
    <row r="27" spans="1:4" x14ac:dyDescent="0.2">
      <c r="A27" s="2432"/>
      <c r="B27" s="2432"/>
      <c r="D27" s="1265"/>
    </row>
    <row r="28" spans="1:4" x14ac:dyDescent="0.2">
      <c r="A28" s="2432"/>
      <c r="B28" s="2432"/>
      <c r="D28" s="1265"/>
    </row>
    <row r="29" spans="1:4" x14ac:dyDescent="0.2">
      <c r="A29" s="2432"/>
      <c r="B29" s="2432"/>
      <c r="D29" s="1265"/>
    </row>
    <row r="30" spans="1:4" x14ac:dyDescent="0.2">
      <c r="A30" s="2432"/>
      <c r="B30" s="2432"/>
      <c r="D30" s="1265"/>
    </row>
    <row r="32" spans="1:4" x14ac:dyDescent="0.2">
      <c r="A32" s="1257" t="s">
        <v>1233</v>
      </c>
      <c r="D32" s="1260">
        <f>SUM(D19:D30)</f>
        <v>169509</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2"/>
      <c r="B40" s="2432"/>
      <c r="D40" s="1265"/>
    </row>
    <row r="41" spans="1:4" x14ac:dyDescent="0.2">
      <c r="A41" s="2432"/>
      <c r="B41" s="2432"/>
      <c r="D41" s="1268"/>
    </row>
    <row r="42" spans="1:4" x14ac:dyDescent="0.2">
      <c r="A42" s="2432"/>
      <c r="B42" s="2432"/>
      <c r="D42" s="1268"/>
    </row>
    <row r="43" spans="1:4" x14ac:dyDescent="0.2">
      <c r="A43" s="2432"/>
      <c r="B43" s="2432"/>
      <c r="D43" s="1268"/>
    </row>
    <row r="44" spans="1:4" x14ac:dyDescent="0.2">
      <c r="A44" s="2432"/>
      <c r="B44" s="2432"/>
      <c r="D44" s="1268"/>
    </row>
    <row r="45" spans="1:4" x14ac:dyDescent="0.2">
      <c r="A45" s="2432"/>
      <c r="B45" s="2432"/>
      <c r="D45" s="1268"/>
    </row>
    <row r="47" spans="1:4" x14ac:dyDescent="0.2">
      <c r="B47" s="1269" t="s">
        <v>1227</v>
      </c>
      <c r="C47" s="1269"/>
      <c r="D47" s="1270">
        <f>SUM(D35:D45)</f>
        <v>0</v>
      </c>
    </row>
    <row r="49" spans="2:4" x14ac:dyDescent="0.2">
      <c r="B49" s="1269" t="s">
        <v>1226</v>
      </c>
      <c r="C49" s="1269"/>
      <c r="D49" s="1270">
        <f>D32-D47</f>
        <v>169509</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13"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94" t="str">
        <f>'Single Audit Cover'!A7</f>
        <v>Bement CUSD 5</v>
      </c>
      <c r="C1" s="2437"/>
      <c r="D1" s="2437"/>
      <c r="E1" s="2437"/>
      <c r="F1" s="2437"/>
      <c r="G1" s="2437"/>
      <c r="H1" s="2437"/>
      <c r="I1" s="2437"/>
      <c r="J1" s="2437"/>
      <c r="K1" s="2437"/>
      <c r="L1" s="2437"/>
      <c r="M1" s="2437"/>
    </row>
    <row r="2" spans="2:14" ht="15" x14ac:dyDescent="0.2">
      <c r="B2" s="2438">
        <f>'Single Audit Cover'!E7</f>
        <v>39074005026</v>
      </c>
      <c r="C2" s="2438"/>
      <c r="D2" s="2438"/>
      <c r="E2" s="2438"/>
      <c r="F2" s="2438"/>
      <c r="G2" s="2438"/>
      <c r="H2" s="2438"/>
      <c r="I2" s="2438"/>
      <c r="J2" s="2438"/>
      <c r="K2" s="2438"/>
      <c r="L2" s="2438"/>
      <c r="M2" s="2438"/>
      <c r="N2" s="1299"/>
    </row>
    <row r="3" spans="2:14" ht="15" x14ac:dyDescent="0.2">
      <c r="B3" s="2439" t="s">
        <v>1219</v>
      </c>
      <c r="C3" s="2439"/>
      <c r="D3" s="2439"/>
      <c r="E3" s="2439"/>
      <c r="F3" s="2439"/>
      <c r="G3" s="2439"/>
      <c r="H3" s="2439"/>
      <c r="I3" s="2439"/>
      <c r="J3" s="2439"/>
      <c r="K3" s="2439"/>
      <c r="L3" s="2439"/>
      <c r="M3" s="2439"/>
      <c r="N3" s="1299"/>
    </row>
    <row r="4" spans="2:14" ht="15" x14ac:dyDescent="0.2">
      <c r="B4" s="2440" t="str">
        <f>'Single Audit Cover'!A4</f>
        <v>Year Ending June 30, 2019</v>
      </c>
      <c r="C4" s="2440"/>
      <c r="D4" s="2440"/>
      <c r="E4" s="2440"/>
      <c r="F4" s="2440"/>
      <c r="G4" s="2440"/>
      <c r="H4" s="2440"/>
      <c r="I4" s="2440"/>
      <c r="J4" s="2440"/>
      <c r="K4" s="2440"/>
      <c r="L4" s="2440"/>
      <c r="M4" s="2440"/>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1988</v>
      </c>
      <c r="K8" s="1316" t="s">
        <v>1261</v>
      </c>
      <c r="L8" s="1317" t="s">
        <v>1257</v>
      </c>
      <c r="M8" s="1318" t="s">
        <v>30</v>
      </c>
    </row>
    <row r="9" spans="2:14" ht="14.25" x14ac:dyDescent="0.2">
      <c r="B9" s="1322" t="s">
        <v>1259</v>
      </c>
      <c r="C9" s="1310" t="s">
        <v>1735</v>
      </c>
      <c r="D9" s="1311" t="s">
        <v>1736</v>
      </c>
      <c r="E9" s="1319" t="s">
        <v>1839</v>
      </c>
      <c r="F9" s="1320" t="s">
        <v>1988</v>
      </c>
      <c r="G9" s="1321" t="s">
        <v>1839</v>
      </c>
      <c r="H9" s="1314" t="s">
        <v>1582</v>
      </c>
      <c r="I9" s="1316" t="s">
        <v>1988</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37"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2" t="str">
        <f>'Single Audit Cover'!A7</f>
        <v>Bement CUSD 5</v>
      </c>
      <c r="B1" s="2442"/>
      <c r="C1" s="2442"/>
      <c r="D1" s="2442"/>
      <c r="E1" s="2442"/>
      <c r="F1" s="2442"/>
    </row>
    <row r="2" spans="1:7" ht="13.5" customHeight="1" x14ac:dyDescent="0.2">
      <c r="A2" s="2438">
        <f>'Single Audit Cover'!E7</f>
        <v>39074005026</v>
      </c>
      <c r="B2" s="2438"/>
      <c r="C2" s="2438"/>
      <c r="D2" s="2438"/>
      <c r="E2" s="2438"/>
      <c r="F2" s="2438"/>
      <c r="G2" s="1272"/>
    </row>
    <row r="3" spans="1:7" ht="15.75" customHeight="1" x14ac:dyDescent="0.2">
      <c r="A3" s="2443" t="s">
        <v>1271</v>
      </c>
      <c r="B3" s="2443"/>
      <c r="C3" s="2443"/>
      <c r="D3" s="2443"/>
      <c r="E3" s="2443"/>
      <c r="F3" s="2443"/>
    </row>
    <row r="4" spans="1:7" ht="13.5" customHeight="1" x14ac:dyDescent="0.2">
      <c r="A4" s="2444" t="str">
        <f>'Single Audit Cover'!A4</f>
        <v>Year Ending June 30, 2019</v>
      </c>
      <c r="B4" s="2444"/>
      <c r="C4" s="2444"/>
      <c r="D4" s="2444"/>
      <c r="E4" s="2444"/>
      <c r="F4" s="2444"/>
    </row>
    <row r="5" spans="1:7" ht="8.25" customHeight="1" x14ac:dyDescent="0.2">
      <c r="C5" s="317"/>
      <c r="D5" s="317"/>
    </row>
    <row r="6" spans="1:7" ht="13.5" customHeight="1" x14ac:dyDescent="0.2">
      <c r="A6" s="1273" t="s">
        <v>1728</v>
      </c>
      <c r="C6" s="317"/>
      <c r="D6" s="317"/>
    </row>
    <row r="7" spans="1:7" ht="60.95" customHeight="1" x14ac:dyDescent="0.2">
      <c r="A7" s="2441" t="s">
        <v>1729</v>
      </c>
      <c r="B7" s="2441"/>
      <c r="C7" s="2441"/>
      <c r="D7" s="2441"/>
      <c r="E7" s="2441"/>
      <c r="F7" s="2441"/>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41" t="s">
        <v>1731</v>
      </c>
      <c r="B13" s="2441"/>
      <c r="C13" s="2441"/>
      <c r="D13" s="2441"/>
      <c r="E13" s="2441"/>
      <c r="F13" s="2441"/>
    </row>
    <row r="14" spans="1:7" ht="9.75" customHeight="1" x14ac:dyDescent="0.2">
      <c r="C14" s="1257"/>
      <c r="D14" s="1257"/>
    </row>
    <row r="15" spans="1:7" ht="13.5" customHeight="1" x14ac:dyDescent="0.2">
      <c r="C15" s="1846" t="s">
        <v>1270</v>
      </c>
      <c r="D15" s="2446" t="s">
        <v>1269</v>
      </c>
      <c r="E15" s="2446"/>
      <c r="F15" s="2446"/>
    </row>
    <row r="16" spans="1:7" ht="13.5" customHeight="1" x14ac:dyDescent="0.2">
      <c r="A16" s="1279"/>
      <c r="B16" s="1273" t="s">
        <v>1268</v>
      </c>
      <c r="C16" s="1846" t="s">
        <v>1267</v>
      </c>
      <c r="D16" s="2447" t="s">
        <v>1588</v>
      </c>
      <c r="E16" s="2447"/>
      <c r="F16" s="2447"/>
    </row>
    <row r="17" spans="1:6" ht="20.45" customHeight="1" x14ac:dyDescent="0.2">
      <c r="A17" s="1280"/>
      <c r="B17" s="1281"/>
      <c r="C17" s="1282"/>
      <c r="D17" s="2445"/>
      <c r="E17" s="2445"/>
      <c r="F17" s="2445"/>
    </row>
    <row r="18" spans="1:6" ht="20.65" customHeight="1" x14ac:dyDescent="0.2">
      <c r="A18" s="1280"/>
      <c r="B18" s="1281"/>
      <c r="C18" s="1282"/>
      <c r="D18" s="2445"/>
      <c r="E18" s="2445"/>
      <c r="F18" s="2445"/>
    </row>
    <row r="19" spans="1:6" ht="20.65" customHeight="1" x14ac:dyDescent="0.2">
      <c r="A19" s="1280"/>
      <c r="B19" s="1281"/>
      <c r="C19" s="1282"/>
      <c r="D19" s="2445"/>
      <c r="E19" s="2445"/>
      <c r="F19" s="2445"/>
    </row>
    <row r="20" spans="1:6" ht="20.65" customHeight="1" x14ac:dyDescent="0.2">
      <c r="A20" s="1280"/>
      <c r="B20" s="1281"/>
      <c r="C20" s="1282"/>
      <c r="D20" s="2445"/>
      <c r="E20" s="2445"/>
      <c r="F20" s="2445"/>
    </row>
    <row r="21" spans="1:6" ht="20.65" customHeight="1" x14ac:dyDescent="0.2">
      <c r="A21" s="1280"/>
      <c r="B21" s="1281"/>
      <c r="C21" s="1282"/>
      <c r="D21" s="2445"/>
      <c r="E21" s="2445"/>
      <c r="F21" s="2445"/>
    </row>
    <row r="22" spans="1:6" ht="20.65" customHeight="1" x14ac:dyDescent="0.2">
      <c r="A22" s="1280"/>
      <c r="B22" s="1281"/>
      <c r="C22" s="1282"/>
      <c r="D22" s="2445"/>
      <c r="E22" s="2445"/>
      <c r="F22" s="2445"/>
    </row>
    <row r="23" spans="1:6" ht="20.65" customHeight="1" x14ac:dyDescent="0.2">
      <c r="A23" s="1280"/>
      <c r="B23" s="1281"/>
      <c r="C23" s="1282"/>
      <c r="D23" s="2445"/>
      <c r="E23" s="2445"/>
      <c r="F23" s="2445"/>
    </row>
    <row r="24" spans="1:6" ht="20.65" customHeight="1" x14ac:dyDescent="0.2">
      <c r="A24" s="1280"/>
      <c r="B24" s="1281"/>
      <c r="C24" s="1282"/>
      <c r="D24" s="2445"/>
      <c r="E24" s="2445"/>
      <c r="F24" s="2445"/>
    </row>
    <row r="25" spans="1:6" ht="20.65" customHeight="1" x14ac:dyDescent="0.2">
      <c r="A25" s="1280"/>
      <c r="B25" s="1281"/>
      <c r="C25" s="1282"/>
      <c r="D25" s="2445"/>
      <c r="E25" s="2445"/>
      <c r="F25" s="2445"/>
    </row>
    <row r="26" spans="1:6" ht="20.65" customHeight="1" x14ac:dyDescent="0.2">
      <c r="A26" s="1280"/>
      <c r="B26" s="1281"/>
      <c r="C26" s="1282"/>
      <c r="D26" s="2445"/>
      <c r="E26" s="2445"/>
      <c r="F26" s="2445"/>
    </row>
    <row r="27" spans="1:6" ht="20.65" customHeight="1" x14ac:dyDescent="0.2">
      <c r="A27" s="1280"/>
      <c r="B27" s="1281"/>
      <c r="C27" s="1282"/>
      <c r="D27" s="2445"/>
      <c r="E27" s="2445"/>
      <c r="F27" s="2445"/>
    </row>
    <row r="28" spans="1:6" ht="20.65" customHeight="1" x14ac:dyDescent="0.2">
      <c r="A28" s="1280"/>
      <c r="B28" s="1281"/>
      <c r="C28" s="1282"/>
      <c r="D28" s="2445"/>
      <c r="E28" s="2445"/>
      <c r="F28" s="2445"/>
    </row>
    <row r="29" spans="1:6" ht="20.65" customHeight="1" x14ac:dyDescent="0.2">
      <c r="A29" s="1280"/>
      <c r="B29" s="1281"/>
      <c r="C29" s="1282"/>
      <c r="D29" s="2445"/>
      <c r="E29" s="2445"/>
      <c r="F29" s="2445"/>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9" t="s">
        <v>1732</v>
      </c>
      <c r="B32" s="2449"/>
      <c r="C32" s="2449"/>
      <c r="D32" s="2449"/>
      <c r="E32" s="2449"/>
      <c r="F32" s="2449"/>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50">
        <f>+C33+C34</f>
        <v>0</v>
      </c>
      <c r="F34" s="2451"/>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52" t="s">
        <v>1590</v>
      </c>
      <c r="C49" s="2452"/>
      <c r="D49" s="2452"/>
      <c r="E49" s="1396"/>
    </row>
    <row r="50" spans="1:5" s="1297" customFormat="1" ht="3.75" customHeight="1" x14ac:dyDescent="0.2">
      <c r="A50" s="1296"/>
      <c r="B50" s="1845"/>
      <c r="C50" s="1845"/>
      <c r="D50" s="1845"/>
      <c r="E50" s="1396"/>
    </row>
    <row r="51" spans="1:5" s="1297" customFormat="1" ht="20.25" customHeight="1" x14ac:dyDescent="0.2">
      <c r="A51" s="1298">
        <v>6</v>
      </c>
      <c r="B51" s="2448" t="s">
        <v>1551</v>
      </c>
      <c r="C51" s="2448"/>
      <c r="D51" s="2448"/>
    </row>
    <row r="52" spans="1:5" ht="14.25" customHeight="1" x14ac:dyDescent="0.2">
      <c r="A52" s="1298"/>
      <c r="B52" s="2448"/>
      <c r="C52" s="2448"/>
      <c r="D52" s="2448"/>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92"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8" t="s">
        <v>1168</v>
      </c>
      <c r="B2" s="2058"/>
      <c r="C2" s="2058"/>
      <c r="D2" s="2058"/>
      <c r="E2" s="2058"/>
      <c r="F2" s="2058"/>
      <c r="G2" s="2058"/>
      <c r="H2" s="2058"/>
      <c r="I2" s="2058"/>
      <c r="J2" s="2058"/>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t="s">
        <v>2073</v>
      </c>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2" t="s">
        <v>1633</v>
      </c>
      <c r="B35" s="2073"/>
      <c r="C35" s="2073"/>
      <c r="D35" s="2073"/>
      <c r="E35" s="2074"/>
      <c r="F35" s="2074"/>
      <c r="G35" s="2074"/>
      <c r="H35" s="2074"/>
      <c r="I35" s="2074"/>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2" t="s">
        <v>313</v>
      </c>
      <c r="B47" s="2075"/>
      <c r="C47" s="2075"/>
      <c r="D47" s="2075"/>
      <c r="E47" s="2076"/>
      <c r="F47" s="2076"/>
      <c r="G47" s="2076"/>
      <c r="H47" s="2076"/>
      <c r="I47" s="2076"/>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t="s">
        <v>2073</v>
      </c>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9"/>
      <c r="C57" s="2080"/>
      <c r="D57" s="2080"/>
      <c r="E57" s="2080"/>
      <c r="F57" s="2080"/>
      <c r="G57" s="2080"/>
      <c r="H57" s="2080"/>
      <c r="I57" s="2080"/>
      <c r="J57" s="2081"/>
    </row>
    <row r="58" spans="1:10" s="181" customFormat="1" x14ac:dyDescent="0.2">
      <c r="A58" s="253"/>
      <c r="B58" s="2082"/>
      <c r="C58" s="2083"/>
      <c r="D58" s="2083"/>
      <c r="E58" s="2083"/>
      <c r="F58" s="2083"/>
      <c r="G58" s="2083"/>
      <c r="H58" s="2083"/>
      <c r="I58" s="2083"/>
      <c r="J58" s="2084"/>
    </row>
    <row r="59" spans="1:10" s="181" customFormat="1" x14ac:dyDescent="0.2">
      <c r="A59" s="253"/>
      <c r="B59" s="2082"/>
      <c r="C59" s="2083"/>
      <c r="D59" s="2083"/>
      <c r="E59" s="2083"/>
      <c r="F59" s="2083"/>
      <c r="G59" s="2083"/>
      <c r="H59" s="2083"/>
      <c r="I59" s="2083"/>
      <c r="J59" s="2084"/>
    </row>
    <row r="60" spans="1:10" s="181" customFormat="1" x14ac:dyDescent="0.2">
      <c r="A60" s="253"/>
      <c r="B60" s="2082"/>
      <c r="C60" s="2083"/>
      <c r="D60" s="2083"/>
      <c r="E60" s="2083"/>
      <c r="F60" s="2083"/>
      <c r="G60" s="2083"/>
      <c r="H60" s="2083"/>
      <c r="I60" s="2083"/>
      <c r="J60" s="2084"/>
    </row>
    <row r="61" spans="1:10" s="181" customFormat="1" x14ac:dyDescent="0.2">
      <c r="A61" s="253"/>
      <c r="B61" s="2082"/>
      <c r="C61" s="2083"/>
      <c r="D61" s="2083"/>
      <c r="E61" s="2083"/>
      <c r="F61" s="2083"/>
      <c r="G61" s="2083"/>
      <c r="H61" s="2083"/>
      <c r="I61" s="2083"/>
      <c r="J61" s="2084"/>
    </row>
    <row r="62" spans="1:10" s="181" customFormat="1" x14ac:dyDescent="0.2">
      <c r="A62" s="253"/>
      <c r="B62" s="2082"/>
      <c r="C62" s="2083"/>
      <c r="D62" s="2083"/>
      <c r="E62" s="2083"/>
      <c r="F62" s="2083"/>
      <c r="G62" s="2083"/>
      <c r="H62" s="2083"/>
      <c r="I62" s="2083"/>
      <c r="J62" s="2084"/>
    </row>
    <row r="63" spans="1:10" s="181" customFormat="1" x14ac:dyDescent="0.2">
      <c r="A63" s="253"/>
      <c r="B63" s="2082"/>
      <c r="C63" s="2083"/>
      <c r="D63" s="2083"/>
      <c r="E63" s="2083"/>
      <c r="F63" s="2083"/>
      <c r="G63" s="2083"/>
      <c r="H63" s="2083"/>
      <c r="I63" s="2083"/>
      <c r="J63" s="2084"/>
    </row>
    <row r="64" spans="1:10" s="181" customFormat="1" x14ac:dyDescent="0.2">
      <c r="A64" s="253"/>
      <c r="B64" s="2082"/>
      <c r="C64" s="2083"/>
      <c r="D64" s="2083"/>
      <c r="E64" s="2083"/>
      <c r="F64" s="2083"/>
      <c r="G64" s="2083"/>
      <c r="H64" s="2083"/>
      <c r="I64" s="2083"/>
      <c r="J64" s="2084"/>
    </row>
    <row r="65" spans="1:10" s="181" customFormat="1" x14ac:dyDescent="0.2">
      <c r="A65" s="253"/>
      <c r="B65" s="2082"/>
      <c r="C65" s="2083"/>
      <c r="D65" s="2083"/>
      <c r="E65" s="2083"/>
      <c r="F65" s="2083"/>
      <c r="G65" s="2083"/>
      <c r="H65" s="2083"/>
      <c r="I65" s="2083"/>
      <c r="J65" s="2084"/>
    </row>
    <row r="66" spans="1:10" s="181" customFormat="1" x14ac:dyDescent="0.2">
      <c r="A66" s="253"/>
      <c r="B66" s="2082"/>
      <c r="C66" s="2083"/>
      <c r="D66" s="2083"/>
      <c r="E66" s="2083"/>
      <c r="F66" s="2083"/>
      <c r="G66" s="2083"/>
      <c r="H66" s="2083"/>
      <c r="I66" s="2083"/>
      <c r="J66" s="2084"/>
    </row>
    <row r="67" spans="1:10" s="181" customFormat="1" ht="9" customHeight="1" x14ac:dyDescent="0.2">
      <c r="A67" s="254"/>
      <c r="B67" s="2085"/>
      <c r="C67" s="2086"/>
      <c r="D67" s="2086"/>
      <c r="E67" s="2086"/>
      <c r="F67" s="2086"/>
      <c r="G67" s="2086"/>
      <c r="H67" s="2086"/>
      <c r="I67" s="2086"/>
      <c r="J67" s="208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2" t="s">
        <v>1323</v>
      </c>
      <c r="B70" s="2075"/>
      <c r="C70" s="2075"/>
      <c r="D70" s="2075"/>
      <c r="E70" s="2076"/>
      <c r="F70" s="2076"/>
      <c r="G70" s="2076"/>
      <c r="H70" s="2076"/>
      <c r="I70" s="2076"/>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7" t="s">
        <v>1320</v>
      </c>
      <c r="B83" s="2077"/>
      <c r="C83" s="2077"/>
      <c r="D83" s="2078"/>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9"/>
      <c r="C102" s="2060"/>
      <c r="D102" s="2060"/>
      <c r="E102" s="2060"/>
      <c r="F102" s="2060"/>
      <c r="G102" s="2060"/>
      <c r="H102" s="2060"/>
      <c r="I102" s="2061"/>
    </row>
    <row r="103" spans="1:9" s="181" customFormat="1" ht="11.25" customHeight="1" x14ac:dyDescent="0.2">
      <c r="A103" s="316"/>
      <c r="B103" s="2062"/>
      <c r="C103" s="2063"/>
      <c r="D103" s="2063"/>
      <c r="E103" s="2063"/>
      <c r="F103" s="2063"/>
      <c r="G103" s="2063"/>
      <c r="H103" s="2063"/>
      <c r="I103" s="2064"/>
    </row>
    <row r="104" spans="1:9" s="181" customFormat="1" ht="11.25" customHeight="1" x14ac:dyDescent="0.2">
      <c r="A104" s="316"/>
      <c r="B104" s="2062"/>
      <c r="C104" s="2063"/>
      <c r="D104" s="2063"/>
      <c r="E104" s="2063"/>
      <c r="F104" s="2063"/>
      <c r="G104" s="2063"/>
      <c r="H104" s="2063"/>
      <c r="I104" s="2064"/>
    </row>
    <row r="105" spans="1:9" s="181" customFormat="1" x14ac:dyDescent="0.2">
      <c r="A105" s="316"/>
      <c r="B105" s="2062"/>
      <c r="C105" s="2063"/>
      <c r="D105" s="2063"/>
      <c r="E105" s="2063"/>
      <c r="F105" s="2063"/>
      <c r="G105" s="2063"/>
      <c r="H105" s="2063"/>
      <c r="I105" s="2064"/>
    </row>
    <row r="106" spans="1:9" s="181" customFormat="1" ht="11.25" customHeight="1" x14ac:dyDescent="0.2">
      <c r="A106" s="316"/>
      <c r="B106" s="2062"/>
      <c r="C106" s="2063"/>
      <c r="D106" s="2063"/>
      <c r="E106" s="2063"/>
      <c r="F106" s="2063"/>
      <c r="G106" s="2063"/>
      <c r="H106" s="2063"/>
      <c r="I106" s="2064"/>
    </row>
    <row r="107" spans="1:9" s="181" customFormat="1" ht="11.25" customHeight="1" x14ac:dyDescent="0.2">
      <c r="A107" s="316"/>
      <c r="B107" s="2062"/>
      <c r="C107" s="2063"/>
      <c r="D107" s="2063"/>
      <c r="E107" s="2063"/>
      <c r="F107" s="2063"/>
      <c r="G107" s="2063"/>
      <c r="H107" s="2063"/>
      <c r="I107" s="2064"/>
    </row>
    <row r="108" spans="1:9" s="181" customFormat="1" ht="11.25" customHeight="1" x14ac:dyDescent="0.2">
      <c r="A108" s="316"/>
      <c r="B108" s="2062"/>
      <c r="C108" s="2063"/>
      <c r="D108" s="2063"/>
      <c r="E108" s="2063"/>
      <c r="F108" s="2063"/>
      <c r="G108" s="2063"/>
      <c r="H108" s="2063"/>
      <c r="I108" s="2064"/>
    </row>
    <row r="109" spans="1:9" s="181" customFormat="1" ht="11.25" customHeight="1" x14ac:dyDescent="0.2">
      <c r="A109" s="316"/>
      <c r="B109" s="2062"/>
      <c r="C109" s="2063"/>
      <c r="D109" s="2063"/>
      <c r="E109" s="2063"/>
      <c r="F109" s="2063"/>
      <c r="G109" s="2063"/>
      <c r="H109" s="2063"/>
      <c r="I109" s="2064"/>
    </row>
    <row r="110" spans="1:9" s="181" customFormat="1" ht="11.25" customHeight="1" x14ac:dyDescent="0.2">
      <c r="A110" s="316"/>
      <c r="B110" s="2062"/>
      <c r="C110" s="2063"/>
      <c r="D110" s="2063"/>
      <c r="E110" s="2063"/>
      <c r="F110" s="2063"/>
      <c r="G110" s="2063"/>
      <c r="H110" s="2063"/>
      <c r="I110" s="2064"/>
    </row>
    <row r="111" spans="1:9" s="181" customFormat="1" ht="11.25" customHeight="1" x14ac:dyDescent="0.2">
      <c r="A111" s="316"/>
      <c r="B111" s="2062"/>
      <c r="C111" s="2063"/>
      <c r="D111" s="2063"/>
      <c r="E111" s="2063"/>
      <c r="F111" s="2063"/>
      <c r="G111" s="2063"/>
      <c r="H111" s="2063"/>
      <c r="I111" s="2064"/>
    </row>
    <row r="112" spans="1:9" s="181" customFormat="1" ht="11.25" customHeight="1" x14ac:dyDescent="0.2">
      <c r="A112" s="316"/>
      <c r="B112" s="2065"/>
      <c r="C112" s="2066"/>
      <c r="D112" s="2066"/>
      <c r="E112" s="2066"/>
      <c r="F112" s="2066"/>
      <c r="G112" s="2066"/>
      <c r="H112" s="2066"/>
      <c r="I112" s="206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8" t="s">
        <v>2075</v>
      </c>
      <c r="D114" s="2068"/>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9" t="s">
        <v>1330</v>
      </c>
      <c r="D117" s="2070"/>
      <c r="E117" s="2071"/>
      <c r="F117" s="2071"/>
      <c r="G117" s="2071"/>
      <c r="H117" s="2071"/>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1905</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16" zoomScale="110" zoomScaleNormal="110" workbookViewId="0">
      <selection activeCell="N27" sqref="N27"/>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7" t="str">
        <f>'Single Audit Cover'!A7</f>
        <v>Bement CUSD 5</v>
      </c>
      <c r="C1" s="2458"/>
      <c r="D1" s="2458"/>
      <c r="E1" s="2458"/>
      <c r="F1" s="2458"/>
      <c r="G1" s="2458"/>
      <c r="H1" s="2458"/>
      <c r="I1" s="2458"/>
      <c r="J1" s="1406"/>
    </row>
    <row r="2" spans="2:10" s="317" customFormat="1" ht="12.75" customHeight="1" x14ac:dyDescent="0.2">
      <c r="B2" s="2459">
        <f>'Single Audit Cover'!E7</f>
        <v>39074005026</v>
      </c>
      <c r="C2" s="2460"/>
      <c r="D2" s="2460"/>
      <c r="E2" s="2460"/>
      <c r="F2" s="2460"/>
      <c r="G2" s="2460"/>
      <c r="H2" s="2460"/>
      <c r="I2" s="2460"/>
      <c r="J2" s="1406"/>
    </row>
    <row r="3" spans="2:10" s="317" customFormat="1" ht="12.75" customHeight="1" x14ac:dyDescent="0.2">
      <c r="B3" s="2461" t="s">
        <v>1285</v>
      </c>
      <c r="C3" s="2462"/>
      <c r="D3" s="2462"/>
      <c r="E3" s="2462"/>
      <c r="F3" s="2462"/>
      <c r="G3" s="2462"/>
      <c r="H3" s="2462"/>
      <c r="I3" s="2462"/>
      <c r="J3" s="1407"/>
    </row>
    <row r="4" spans="2:10" s="317" customFormat="1" ht="12.75" customHeight="1" x14ac:dyDescent="0.2">
      <c r="B4" s="2461" t="str">
        <f>'Single Audit Cover'!A4</f>
        <v>Year Ending June 30, 2019</v>
      </c>
      <c r="C4" s="2462"/>
      <c r="D4" s="2462"/>
      <c r="E4" s="2462"/>
      <c r="F4" s="2462"/>
      <c r="G4" s="2462"/>
      <c r="H4" s="2462"/>
      <c r="I4" s="2462"/>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1" t="s">
        <v>1284</v>
      </c>
      <c r="C7" s="2462"/>
      <c r="D7" s="2462"/>
      <c r="E7" s="2462"/>
      <c r="F7" s="2462"/>
      <c r="G7" s="2462"/>
      <c r="H7" s="2462"/>
      <c r="I7" s="2462"/>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63"/>
      <c r="D11" s="2463"/>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64"/>
      <c r="E29" s="2464"/>
      <c r="F29" s="2464"/>
      <c r="G29" s="2464"/>
      <c r="H29" s="2464"/>
      <c r="I29" s="2464"/>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65" t="s">
        <v>1751</v>
      </c>
      <c r="D37" s="2466"/>
      <c r="E37" s="2466"/>
      <c r="F37" s="2467"/>
      <c r="G37" s="2465" t="s">
        <v>1592</v>
      </c>
      <c r="H37" s="2466"/>
      <c r="I37" s="2467"/>
    </row>
    <row r="38" spans="2:9" ht="16.5" customHeight="1" x14ac:dyDescent="0.2">
      <c r="B38" s="1428"/>
      <c r="C38" s="2453"/>
      <c r="D38" s="2454"/>
      <c r="E38" s="2454"/>
      <c r="F38" s="2455"/>
      <c r="G38" s="2468"/>
      <c r="H38" s="2469"/>
      <c r="I38" s="2470"/>
    </row>
    <row r="39" spans="2:9" ht="16.5" customHeight="1" x14ac:dyDescent="0.2">
      <c r="B39" s="1428"/>
      <c r="C39" s="2453"/>
      <c r="D39" s="2454"/>
      <c r="E39" s="2454"/>
      <c r="F39" s="2455"/>
      <c r="G39" s="2456"/>
      <c r="H39" s="2456"/>
      <c r="I39" s="2456"/>
    </row>
    <row r="40" spans="2:9" ht="16.5" customHeight="1" x14ac:dyDescent="0.2">
      <c r="B40" s="1428"/>
      <c r="C40" s="2453"/>
      <c r="D40" s="2454"/>
      <c r="E40" s="2454"/>
      <c r="F40" s="2455"/>
      <c r="G40" s="2456"/>
      <c r="H40" s="2456"/>
      <c r="I40" s="2456"/>
    </row>
    <row r="41" spans="2:9" ht="16.5" customHeight="1" x14ac:dyDescent="0.2">
      <c r="B41" s="1428"/>
      <c r="C41" s="2453"/>
      <c r="D41" s="2454"/>
      <c r="E41" s="2454"/>
      <c r="F41" s="2455"/>
      <c r="G41" s="2456"/>
      <c r="H41" s="2456"/>
      <c r="I41" s="2456"/>
    </row>
    <row r="42" spans="2:9" ht="16.5" customHeight="1" x14ac:dyDescent="0.2">
      <c r="B42" s="1428"/>
      <c r="C42" s="2453"/>
      <c r="D42" s="2454"/>
      <c r="E42" s="2454"/>
      <c r="F42" s="2455"/>
      <c r="G42" s="2456"/>
      <c r="H42" s="2456"/>
      <c r="I42" s="2456"/>
    </row>
    <row r="43" spans="2:9" ht="16.5" customHeight="1" x14ac:dyDescent="0.2">
      <c r="B43" s="1428"/>
      <c r="C43" s="2471" t="s">
        <v>1593</v>
      </c>
      <c r="D43" s="2472"/>
      <c r="E43" s="2472"/>
      <c r="F43" s="2473"/>
      <c r="G43" s="2474">
        <f>SUM(G38:I42)</f>
        <v>0</v>
      </c>
      <c r="H43" s="2474"/>
      <c r="I43" s="2474"/>
    </row>
    <row r="44" spans="2:9" ht="12.75" customHeight="1" x14ac:dyDescent="0.2"/>
    <row r="45" spans="2:9" ht="12.75" customHeight="1" x14ac:dyDescent="0.2">
      <c r="B45" s="1419" t="s">
        <v>2062</v>
      </c>
      <c r="D45" s="2475">
        <v>0</v>
      </c>
      <c r="E45" s="2476"/>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77"/>
      <c r="F49" s="2477"/>
      <c r="G49" s="2477"/>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opLeftCell="A19" zoomScale="110" zoomScaleNormal="110" workbookViewId="0">
      <selection activeCell="C11" sqref="C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7" t="str">
        <f>'Single Audit Cover'!A7</f>
        <v>Bement CUSD 5</v>
      </c>
      <c r="C1" s="2457"/>
      <c r="D1" s="2457"/>
      <c r="E1" s="2457"/>
      <c r="F1" s="2457"/>
      <c r="G1" s="2457"/>
      <c r="H1" s="2457"/>
      <c r="I1" s="2457"/>
      <c r="J1" s="2457"/>
      <c r="K1" s="2457"/>
      <c r="L1" s="1371"/>
      <c r="M1" s="1371"/>
    </row>
    <row r="2" spans="1:13" ht="12" customHeight="1" x14ac:dyDescent="0.2">
      <c r="B2" s="2459">
        <f>'Single Audit Cover'!E7</f>
        <v>39074005026</v>
      </c>
      <c r="C2" s="2459"/>
      <c r="D2" s="2459"/>
      <c r="E2" s="2459"/>
      <c r="F2" s="2459"/>
      <c r="G2" s="2459"/>
      <c r="H2" s="2459"/>
      <c r="I2" s="2459"/>
      <c r="J2" s="2459"/>
      <c r="K2" s="2459"/>
      <c r="L2" s="1372"/>
      <c r="M2" s="1373"/>
    </row>
    <row r="3" spans="1:13" ht="10.35" customHeight="1" x14ac:dyDescent="0.2">
      <c r="B3" s="2480" t="s">
        <v>1285</v>
      </c>
      <c r="C3" s="2480"/>
      <c r="D3" s="2480"/>
      <c r="E3" s="2480"/>
      <c r="F3" s="2480"/>
      <c r="G3" s="2480"/>
      <c r="H3" s="2480"/>
      <c r="I3" s="2480"/>
      <c r="J3" s="2480"/>
      <c r="K3" s="2480"/>
      <c r="L3" s="1374"/>
      <c r="M3" s="1374"/>
    </row>
    <row r="4" spans="1:13" ht="14.25" customHeight="1" x14ac:dyDescent="0.2">
      <c r="B4" s="2481" t="str">
        <f>'Single Audit Cover'!A4</f>
        <v>Year Ending June 30, 2019</v>
      </c>
      <c r="C4" s="2481"/>
      <c r="D4" s="2481"/>
      <c r="E4" s="2481"/>
      <c r="F4" s="2481"/>
      <c r="G4" s="2481"/>
      <c r="H4" s="2481"/>
      <c r="I4" s="2481"/>
      <c r="J4" s="2481"/>
      <c r="K4" s="2481"/>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81" t="s">
        <v>1296</v>
      </c>
      <c r="C7" s="2481"/>
      <c r="D7" s="2482"/>
      <c r="E7" s="2482"/>
      <c r="F7" s="2482"/>
      <c r="G7" s="2482"/>
      <c r="H7" s="2482"/>
      <c r="I7" s="2482"/>
      <c r="J7" s="2482"/>
      <c r="K7" s="2482"/>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1989</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9"/>
      <c r="C14" s="2479"/>
      <c r="D14" s="2479"/>
      <c r="E14" s="2479"/>
      <c r="F14" s="2479"/>
      <c r="G14" s="2479"/>
      <c r="H14" s="2479"/>
      <c r="I14" s="2479"/>
      <c r="J14" s="2479"/>
      <c r="K14" s="2479"/>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9"/>
      <c r="C17" s="2479"/>
      <c r="D17" s="2479"/>
      <c r="E17" s="2479"/>
      <c r="F17" s="2479"/>
      <c r="G17" s="2479"/>
      <c r="H17" s="2479"/>
      <c r="I17" s="2479"/>
      <c r="J17" s="2479"/>
      <c r="K17" s="2479"/>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83"/>
      <c r="C20" s="2483"/>
      <c r="D20" s="2479"/>
      <c r="E20" s="2479"/>
      <c r="F20" s="2479"/>
      <c r="G20" s="2479"/>
      <c r="H20" s="2479"/>
      <c r="I20" s="2479"/>
      <c r="J20" s="2479"/>
      <c r="K20" s="2479"/>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9"/>
      <c r="C23" s="2479"/>
      <c r="D23" s="2479"/>
      <c r="E23" s="2479"/>
      <c r="F23" s="2479"/>
      <c r="G23" s="2479"/>
      <c r="H23" s="2479"/>
      <c r="I23" s="2479"/>
      <c r="J23" s="2479"/>
      <c r="K23" s="2479"/>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9"/>
      <c r="C26" s="2479"/>
      <c r="D26" s="2479"/>
      <c r="E26" s="2479"/>
      <c r="F26" s="2479"/>
      <c r="G26" s="2479"/>
      <c r="H26" s="2479"/>
      <c r="I26" s="2479"/>
      <c r="J26" s="2479"/>
      <c r="K26" s="2479"/>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8"/>
      <c r="C29" s="2478"/>
      <c r="D29" s="2479"/>
      <c r="E29" s="2479"/>
      <c r="F29" s="2479"/>
      <c r="G29" s="2479"/>
      <c r="H29" s="2479"/>
      <c r="I29" s="2479"/>
      <c r="J29" s="2479"/>
      <c r="K29" s="2479"/>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8"/>
      <c r="C32" s="2478"/>
      <c r="D32" s="2479"/>
      <c r="E32" s="2479"/>
      <c r="F32" s="2479"/>
      <c r="G32" s="2479"/>
      <c r="H32" s="2479"/>
      <c r="I32" s="2479"/>
      <c r="J32" s="2479"/>
      <c r="K32" s="2479"/>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1841</v>
      </c>
      <c r="C36" s="1297"/>
      <c r="L36" s="1378"/>
    </row>
    <row r="37" spans="1:13" ht="9.6" customHeight="1" x14ac:dyDescent="0.2">
      <c r="B37" s="1297" t="s">
        <v>1842</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4" t="str">
        <f>'Single Audit Cover'!A7</f>
        <v>Bement CUSD 5</v>
      </c>
      <c r="C1" s="2484"/>
      <c r="D1" s="2484"/>
      <c r="E1" s="2484"/>
      <c r="F1" s="2484"/>
      <c r="G1" s="2484"/>
      <c r="H1" s="2484"/>
      <c r="I1" s="2484"/>
      <c r="J1" s="2484"/>
      <c r="K1" s="2484"/>
      <c r="L1" s="1449"/>
    </row>
    <row r="2" spans="1:12" ht="12.75" customHeight="1" x14ac:dyDescent="0.2">
      <c r="B2" s="2485">
        <f>'Single Audit Cover'!E7</f>
        <v>39074005026</v>
      </c>
      <c r="C2" s="2485"/>
      <c r="D2" s="2485"/>
      <c r="E2" s="2485"/>
      <c r="F2" s="2485"/>
      <c r="G2" s="2485"/>
      <c r="H2" s="2485"/>
      <c r="I2" s="2485"/>
      <c r="J2" s="2485"/>
      <c r="K2" s="2485"/>
      <c r="L2" s="1450"/>
    </row>
    <row r="3" spans="1:12" ht="12.75" customHeight="1" x14ac:dyDescent="0.2">
      <c r="B3" s="2480" t="s">
        <v>1285</v>
      </c>
      <c r="C3" s="2480"/>
      <c r="D3" s="2480"/>
      <c r="E3" s="2480"/>
      <c r="F3" s="2480"/>
      <c r="G3" s="2480"/>
      <c r="H3" s="2480"/>
      <c r="I3" s="2480"/>
      <c r="J3" s="2480"/>
      <c r="K3" s="2480"/>
      <c r="L3" s="1374"/>
    </row>
    <row r="4" spans="1:12" ht="12.75" customHeight="1" x14ac:dyDescent="0.2">
      <c r="B4" s="2480" t="str">
        <f>'Single Audit Cover'!A4</f>
        <v>Year Ending June 30, 2019</v>
      </c>
      <c r="C4" s="2480"/>
      <c r="D4" s="2480"/>
      <c r="E4" s="2480"/>
      <c r="F4" s="2480"/>
      <c r="G4" s="2480"/>
      <c r="H4" s="2480"/>
      <c r="I4" s="2480"/>
      <c r="J4" s="2480"/>
      <c r="K4" s="2480"/>
      <c r="L4" s="1374"/>
    </row>
    <row r="5" spans="1:12" ht="5.25" customHeight="1" x14ac:dyDescent="0.2">
      <c r="B5" s="1257" t="s">
        <v>1169</v>
      </c>
      <c r="C5" s="1257"/>
      <c r="L5" s="322"/>
    </row>
    <row r="6" spans="1:12" ht="30.75" customHeight="1" x14ac:dyDescent="0.2">
      <c r="A6" s="322"/>
      <c r="B6" s="2486" t="s">
        <v>1308</v>
      </c>
      <c r="C6" s="2486"/>
      <c r="D6" s="2486"/>
      <c r="E6" s="2486"/>
      <c r="F6" s="2486"/>
      <c r="G6" s="2486"/>
      <c r="H6" s="2486"/>
      <c r="I6" s="2486"/>
      <c r="J6" s="2486"/>
      <c r="K6" s="2486"/>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1989</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64"/>
      <c r="G12" s="2464"/>
      <c r="H12" s="2464"/>
      <c r="I12" s="2464"/>
      <c r="J12" s="2464"/>
      <c r="K12" s="2464"/>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7"/>
      <c r="E14" s="2487"/>
      <c r="F14" s="2487"/>
      <c r="H14" s="1459" t="s">
        <v>1303</v>
      </c>
      <c r="I14" s="2488"/>
      <c r="J14" s="2488"/>
      <c r="K14" s="2488"/>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8"/>
      <c r="E16" s="2488"/>
      <c r="F16" s="2488"/>
      <c r="G16" s="2488"/>
      <c r="H16" s="2488"/>
      <c r="I16" s="2488"/>
      <c r="J16" s="2488"/>
      <c r="K16" s="2488"/>
      <c r="L16" s="322"/>
    </row>
    <row r="17" spans="2:12" ht="13.5" customHeight="1" x14ac:dyDescent="0.2">
      <c r="B17" s="1384" t="s">
        <v>1301</v>
      </c>
      <c r="C17" s="1384"/>
      <c r="D17" s="2489"/>
      <c r="E17" s="2489"/>
      <c r="F17" s="2489"/>
      <c r="G17" s="2489"/>
      <c r="H17" s="2489"/>
      <c r="I17" s="2489"/>
      <c r="J17" s="2489"/>
      <c r="K17" s="2489"/>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9"/>
      <c r="C20" s="2479"/>
      <c r="D20" s="2479"/>
      <c r="E20" s="2479"/>
      <c r="F20" s="2479"/>
      <c r="G20" s="2479"/>
      <c r="H20" s="2479"/>
      <c r="I20" s="2479"/>
      <c r="J20" s="2479"/>
      <c r="K20" s="2479"/>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9"/>
      <c r="C23" s="2479"/>
      <c r="D23" s="2479"/>
      <c r="E23" s="2479"/>
      <c r="F23" s="2479"/>
      <c r="G23" s="2479"/>
      <c r="H23" s="2479"/>
      <c r="I23" s="2479"/>
      <c r="J23" s="2479"/>
      <c r="K23" s="2479"/>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9"/>
      <c r="C26" s="2479"/>
      <c r="D26" s="2479"/>
      <c r="E26" s="2479"/>
      <c r="F26" s="2479"/>
      <c r="G26" s="2479"/>
      <c r="H26" s="2479"/>
      <c r="I26" s="2479"/>
      <c r="J26" s="2479"/>
      <c r="K26" s="2479"/>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9"/>
      <c r="C29" s="2479"/>
      <c r="D29" s="2479"/>
      <c r="E29" s="2479"/>
      <c r="F29" s="2479"/>
      <c r="G29" s="2479"/>
      <c r="H29" s="2479"/>
      <c r="I29" s="2479"/>
      <c r="J29" s="2479"/>
      <c r="K29" s="2479"/>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9"/>
      <c r="C32" s="2479"/>
      <c r="D32" s="2479"/>
      <c r="E32" s="2479"/>
      <c r="F32" s="2479"/>
      <c r="G32" s="2479"/>
      <c r="H32" s="2479"/>
      <c r="I32" s="2479"/>
      <c r="J32" s="2479"/>
      <c r="K32" s="2479"/>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9"/>
      <c r="C35" s="2479"/>
      <c r="D35" s="2479"/>
      <c r="E35" s="2479"/>
      <c r="F35" s="2479"/>
      <c r="G35" s="2479"/>
      <c r="H35" s="2479"/>
      <c r="I35" s="2479"/>
      <c r="J35" s="2479"/>
      <c r="K35" s="2479"/>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9"/>
      <c r="C38" s="2479"/>
      <c r="D38" s="2479"/>
      <c r="E38" s="2479"/>
      <c r="F38" s="2479"/>
      <c r="G38" s="2479"/>
      <c r="H38" s="2479"/>
      <c r="I38" s="2479"/>
      <c r="J38" s="2479"/>
      <c r="K38" s="2479"/>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9"/>
      <c r="C41" s="2479"/>
      <c r="D41" s="2479"/>
      <c r="E41" s="2479"/>
      <c r="F41" s="2479"/>
      <c r="G41" s="2479"/>
      <c r="H41" s="2479"/>
      <c r="I41" s="2479"/>
      <c r="J41" s="2479"/>
      <c r="K41" s="2479"/>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7" t="str">
        <f>'Single Audit Cover'!A7</f>
        <v>Bement CUSD 5</v>
      </c>
      <c r="C1" s="2457"/>
      <c r="D1" s="2457"/>
      <c r="E1" s="1469"/>
    </row>
    <row r="2" spans="2:5" s="1279" customFormat="1" ht="12.75" customHeight="1" x14ac:dyDescent="0.2">
      <c r="B2" s="2459">
        <f>'Single Audit Cover'!E7</f>
        <v>39074005026</v>
      </c>
      <c r="C2" s="2459"/>
      <c r="D2" s="2459"/>
      <c r="E2" s="1470"/>
    </row>
    <row r="3" spans="2:5" ht="12.75" customHeight="1" x14ac:dyDescent="0.2">
      <c r="B3" s="2480" t="s">
        <v>1766</v>
      </c>
      <c r="C3" s="2480"/>
      <c r="D3" s="2480"/>
      <c r="E3" s="1271"/>
    </row>
    <row r="4" spans="2:5" s="1279" customFormat="1" ht="12.75" customHeight="1" x14ac:dyDescent="0.2">
      <c r="B4" s="2490" t="str">
        <f>'Single Audit Cover'!A4</f>
        <v>Year Ending June 30, 2019</v>
      </c>
      <c r="C4" s="2490"/>
      <c r="D4" s="2490"/>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8" t="s">
        <v>386</v>
      </c>
      <c r="B1" s="2088"/>
      <c r="C1" s="2088"/>
      <c r="D1" s="2088"/>
      <c r="E1" s="2088"/>
      <c r="F1" s="2088"/>
      <c r="G1" s="2088"/>
      <c r="H1" s="2088"/>
      <c r="I1" s="2088"/>
      <c r="J1" s="2088"/>
      <c r="K1" s="2088"/>
      <c r="L1" s="2088"/>
      <c r="M1" s="2088"/>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v>66349902</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3.0800000000000001E-2</v>
      </c>
      <c r="E10" s="356" t="s">
        <v>1005</v>
      </c>
      <c r="F10" s="355">
        <v>5.2500000000000003E-3</v>
      </c>
      <c r="G10" s="356" t="s">
        <v>1005</v>
      </c>
      <c r="H10" s="355">
        <v>2E-3</v>
      </c>
      <c r="I10" s="356" t="s">
        <v>1006</v>
      </c>
      <c r="J10" s="1732">
        <f>ROUND(D10+F10+H10,5)</f>
        <v>3.805E-2</v>
      </c>
      <c r="K10" s="222"/>
      <c r="L10" s="355">
        <v>5.0000000000000001E-4</v>
      </c>
      <c r="M10" s="222"/>
    </row>
    <row r="11" spans="1:14" ht="7.5" customHeight="1" x14ac:dyDescent="0.2">
      <c r="B11" s="222"/>
      <c r="C11" s="222"/>
      <c r="D11" s="2098" t="str">
        <f>IF(SUM(J10)&lt;=0.0999999,"","Enter the Tax Rates by moving the decimal two places to the left.")</f>
        <v/>
      </c>
      <c r="E11" s="2099"/>
      <c r="F11" s="2099"/>
      <c r="G11" s="2099"/>
      <c r="H11" s="2099"/>
      <c r="I11" s="2099"/>
      <c r="J11" s="209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3453813</v>
      </c>
      <c r="E16" s="356"/>
      <c r="F16" s="1733">
        <f>SUM('Acct Summary 7-8'!C17,'Acct Summary 7-8'!D17,'Acct Summary 7-8'!F17)</f>
        <v>3250124</v>
      </c>
      <c r="G16" s="356"/>
      <c r="H16" s="1733">
        <f>SUM(D16-F16)</f>
        <v>203689</v>
      </c>
      <c r="I16" s="222"/>
      <c r="J16" s="1733">
        <f>SUM('Acct Summary 7-8'!C81,'Acct Summary 7-8'!D81,'Acct Summary 7-8'!F81,'Acct Summary 7-8'!I81)</f>
        <v>1872609</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8138</v>
      </c>
      <c r="E24" s="356" t="s">
        <v>1006</v>
      </c>
      <c r="F24" s="1734">
        <f>SUM(D22,F22,H22,J22,L22, D24)</f>
        <v>8138</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f>IF(B31="X",(J7*0.069),IF(B32="X",(J7*0.138),"Enter x in a.or b."))</f>
        <v>9156286.4760000017</v>
      </c>
      <c r="I31" s="368"/>
      <c r="J31" s="222"/>
      <c r="K31" s="222"/>
      <c r="L31" s="222"/>
      <c r="M31" s="222"/>
    </row>
    <row r="32" spans="1:13" ht="13.35" customHeight="1" x14ac:dyDescent="0.2">
      <c r="B32" s="369" t="s">
        <v>2073</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4272734</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9"/>
      <c r="C54" s="2090"/>
      <c r="D54" s="2090"/>
      <c r="E54" s="2090"/>
      <c r="F54" s="2090"/>
      <c r="G54" s="2090"/>
      <c r="H54" s="2090"/>
      <c r="I54" s="2090"/>
      <c r="J54" s="2090"/>
      <c r="K54" s="2090"/>
      <c r="L54" s="2091"/>
      <c r="M54" s="380"/>
    </row>
    <row r="55" spans="1:13" ht="12.75" customHeight="1" x14ac:dyDescent="0.2">
      <c r="B55" s="2092"/>
      <c r="C55" s="2093"/>
      <c r="D55" s="2093"/>
      <c r="E55" s="2093"/>
      <c r="F55" s="2093"/>
      <c r="G55" s="2093"/>
      <c r="H55" s="2093"/>
      <c r="I55" s="2093"/>
      <c r="J55" s="2093"/>
      <c r="K55" s="2093"/>
      <c r="L55" s="2094"/>
      <c r="M55" s="380"/>
    </row>
    <row r="56" spans="1:13" ht="12.75" customHeight="1" x14ac:dyDescent="0.2">
      <c r="B56" s="2092"/>
      <c r="C56" s="2093"/>
      <c r="D56" s="2093"/>
      <c r="E56" s="2093"/>
      <c r="F56" s="2093"/>
      <c r="G56" s="2093"/>
      <c r="H56" s="2093"/>
      <c r="I56" s="2093"/>
      <c r="J56" s="2093"/>
      <c r="K56" s="2093"/>
      <c r="L56" s="2094"/>
      <c r="M56" s="222"/>
    </row>
    <row r="57" spans="1:13" ht="12.75" customHeight="1" x14ac:dyDescent="0.2">
      <c r="B57" s="2092"/>
      <c r="C57" s="2093"/>
      <c r="D57" s="2093"/>
      <c r="E57" s="2093"/>
      <c r="F57" s="2093"/>
      <c r="G57" s="2093"/>
      <c r="H57" s="2093"/>
      <c r="I57" s="2093"/>
      <c r="J57" s="2093"/>
      <c r="K57" s="2093"/>
      <c r="L57" s="2094"/>
      <c r="M57" s="222"/>
    </row>
    <row r="58" spans="1:13" x14ac:dyDescent="0.2">
      <c r="B58" s="2095"/>
      <c r="C58" s="2096"/>
      <c r="D58" s="2096"/>
      <c r="E58" s="2096"/>
      <c r="F58" s="2096"/>
      <c r="G58" s="2096"/>
      <c r="H58" s="2096"/>
      <c r="I58" s="2096"/>
      <c r="J58" s="2096"/>
      <c r="K58" s="2096"/>
      <c r="L58" s="209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0"/>
      <c r="D61" s="210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3"/>
      <c r="B1" s="2104"/>
      <c r="C1" s="2104"/>
      <c r="D1" s="384"/>
      <c r="E1" s="384"/>
      <c r="F1" s="384"/>
      <c r="G1" s="384"/>
      <c r="H1" s="384"/>
      <c r="I1" s="384"/>
      <c r="J1" s="384"/>
      <c r="K1" s="384"/>
      <c r="L1" s="384"/>
      <c r="M1" s="384"/>
      <c r="N1" s="384"/>
      <c r="O1" s="2103"/>
      <c r="P1" s="2104"/>
      <c r="Q1" s="2104"/>
    </row>
    <row r="2" spans="1:18" ht="15" x14ac:dyDescent="0.2">
      <c r="A2" s="2107" t="s">
        <v>556</v>
      </c>
      <c r="B2" s="2107"/>
      <c r="C2" s="2107"/>
      <c r="D2" s="2107"/>
      <c r="E2" s="2107"/>
      <c r="F2" s="2107"/>
      <c r="G2" s="2107"/>
      <c r="H2" s="2107"/>
      <c r="I2" s="2107"/>
      <c r="J2" s="2107"/>
      <c r="K2" s="2107"/>
      <c r="L2" s="2107"/>
      <c r="M2" s="2107"/>
      <c r="N2" s="2107"/>
      <c r="O2" s="2107"/>
      <c r="P2" s="2107"/>
      <c r="Q2" s="2107"/>
      <c r="R2" s="2107"/>
    </row>
    <row r="3" spans="1:18" ht="12.75" x14ac:dyDescent="0.2">
      <c r="A3" s="2108" t="s">
        <v>1413</v>
      </c>
      <c r="B3" s="2108"/>
      <c r="C3" s="2108"/>
      <c r="D3" s="2108"/>
      <c r="E3" s="2108"/>
      <c r="F3" s="2108"/>
      <c r="G3" s="2108"/>
      <c r="H3" s="2108"/>
      <c r="I3" s="2108"/>
      <c r="J3" s="2108"/>
      <c r="K3" s="2108"/>
      <c r="L3" s="2108"/>
      <c r="M3" s="2108"/>
      <c r="N3" s="2108"/>
      <c r="O3" s="2108"/>
      <c r="P3" s="2108"/>
      <c r="Q3" s="2108"/>
      <c r="R3" s="2108"/>
    </row>
    <row r="4" spans="1:18" x14ac:dyDescent="0.2">
      <c r="A4" s="2109" t="s">
        <v>1554</v>
      </c>
      <c r="B4" s="2109"/>
      <c r="C4" s="2109"/>
      <c r="D4" s="2109"/>
      <c r="E4" s="2109"/>
      <c r="F4" s="2109"/>
      <c r="G4" s="2109"/>
      <c r="H4" s="2109"/>
      <c r="I4" s="2109"/>
      <c r="J4" s="2109"/>
      <c r="K4" s="2109"/>
      <c r="L4" s="2109"/>
      <c r="M4" s="2109"/>
      <c r="N4" s="2109"/>
      <c r="O4" s="2109"/>
      <c r="P4" s="2109"/>
      <c r="Q4" s="2109"/>
      <c r="R4" s="210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Bement CUSD 5</v>
      </c>
      <c r="E7" s="391"/>
      <c r="G7" s="252"/>
      <c r="H7" s="387"/>
      <c r="I7" s="387"/>
      <c r="J7" s="387"/>
      <c r="K7" s="387"/>
      <c r="L7" s="329"/>
      <c r="M7" s="329"/>
      <c r="N7" s="329"/>
      <c r="O7" s="329"/>
      <c r="P7" s="329"/>
    </row>
    <row r="8" spans="1:18" ht="12.75" x14ac:dyDescent="0.2">
      <c r="A8" s="329"/>
      <c r="B8" s="329"/>
      <c r="C8" s="389" t="s">
        <v>1125</v>
      </c>
      <c r="D8" s="392">
        <f>COVER!A13</f>
        <v>39074005026</v>
      </c>
      <c r="E8" s="393"/>
      <c r="G8" s="329"/>
      <c r="H8" s="329"/>
      <c r="I8" s="329"/>
      <c r="J8" s="329"/>
      <c r="K8" s="329"/>
      <c r="L8" s="329"/>
      <c r="M8" s="329"/>
      <c r="N8" s="329"/>
      <c r="O8" s="329"/>
      <c r="P8" s="329"/>
    </row>
    <row r="9" spans="1:18" ht="12.75" x14ac:dyDescent="0.2">
      <c r="A9" s="329"/>
      <c r="B9" s="329"/>
      <c r="C9" s="389" t="s">
        <v>713</v>
      </c>
      <c r="D9" s="394" t="str">
        <f>COVER!A15</f>
        <v>PIATT</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1872609</v>
      </c>
      <c r="I12" s="404"/>
      <c r="J12" s="404"/>
      <c r="K12" s="405">
        <f>TRUNC((H12/H13*100000),5)/100000</f>
        <v>0.54218598400000007</v>
      </c>
      <c r="L12" s="406"/>
      <c r="M12" s="360" t="s">
        <v>1144</v>
      </c>
      <c r="N12" s="360"/>
      <c r="O12" s="407">
        <v>0.35</v>
      </c>
      <c r="P12" s="218"/>
      <c r="Q12" s="218"/>
    </row>
    <row r="13" spans="1:18" s="408" customFormat="1" ht="12.75" x14ac:dyDescent="0.2">
      <c r="A13" s="218"/>
      <c r="B13" s="401"/>
      <c r="C13" s="2105" t="s">
        <v>1324</v>
      </c>
      <c r="D13" s="2106"/>
      <c r="E13" s="218"/>
      <c r="F13" s="409" t="s">
        <v>793</v>
      </c>
      <c r="G13" s="402"/>
      <c r="H13" s="403">
        <f>SUM('Acct Summary 7-8'!C8+'Acct Summary 7-8'!D8+'Acct Summary 7-8'!F8+'Acct Summary 7-8'!I8)+H14</f>
        <v>3453813</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3250124</v>
      </c>
      <c r="I17" s="404"/>
      <c r="J17" s="416"/>
      <c r="K17" s="405">
        <f>TRUNC((H17/H18*100000),5)/100000</f>
        <v>0.94102489040000004</v>
      </c>
      <c r="L17" s="406"/>
      <c r="M17" s="417" t="s">
        <v>1171</v>
      </c>
      <c r="O17" s="418" t="str">
        <f>IF(AND(O16="2", J20 &gt; 2),"1",IF(AND(O16 = "1", J20 &gt; 2),"2",IF(AND(O16="1", J20 &gt;1),"1","0")))</f>
        <v>0</v>
      </c>
      <c r="P17" s="218"/>
    </row>
    <row r="18" spans="1:18" s="408" customFormat="1" ht="11.25" x14ac:dyDescent="0.2">
      <c r="A18" s="218"/>
      <c r="B18" s="401"/>
      <c r="C18" s="2105" t="s">
        <v>1317</v>
      </c>
      <c r="D18" s="2106"/>
      <c r="E18" s="218"/>
      <c r="F18" s="419" t="s">
        <v>794</v>
      </c>
      <c r="G18" s="402"/>
      <c r="H18" s="403">
        <f>SUM('Acct Summary 7-8'!C8+'Acct Summary 7-8'!D8+'Acct Summary 7-8'!F8+'Acct Summary 7-8'!I8)+H19</f>
        <v>3453813</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102" t="s">
        <v>1412</v>
      </c>
      <c r="D24" s="2102"/>
      <c r="E24" s="218"/>
      <c r="F24" s="218" t="s">
        <v>445</v>
      </c>
      <c r="G24" s="402"/>
      <c r="H24" s="403">
        <f>SUM('Assets-Liab 5-6'!C4+'Assets-Liab 5-6'!D4+'Assets-Liab 5-6'!F4+'Assets-Liab 5-6'!I4+'Assets-Liab 5-6'!C5+'Assets-Liab 5-6'!D5+'Assets-Liab 5-6'!F5+'Assets-Liab 5-6'!I5)</f>
        <v>1880747</v>
      </c>
      <c r="I24" s="422"/>
      <c r="J24" s="422"/>
      <c r="K24" s="423">
        <f>TRUNC(((H24/H25*100000)/100000),2)</f>
        <v>208.32</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9028.1222199999993</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2145921.7054400002</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3</v>
      </c>
      <c r="P31" s="216"/>
    </row>
    <row r="32" spans="1:18" s="408" customFormat="1" ht="11.25" x14ac:dyDescent="0.2">
      <c r="A32" s="218"/>
      <c r="B32" s="401"/>
      <c r="C32" s="218" t="s">
        <v>847</v>
      </c>
      <c r="D32" s="218"/>
      <c r="E32" s="218"/>
      <c r="F32" s="218"/>
      <c r="G32" s="402"/>
      <c r="H32" s="403">
        <f>'FP Info 3'!H37</f>
        <v>4272734</v>
      </c>
      <c r="I32" s="420"/>
      <c r="J32" s="420"/>
      <c r="K32" s="423">
        <f>TRUNC(100-((((H32/H33*100))*100)/100),2)</f>
        <v>53.33</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9156286.4760000017</v>
      </c>
      <c r="I33" s="420"/>
      <c r="J33" s="420"/>
      <c r="K33" s="403"/>
      <c r="L33" s="218"/>
      <c r="M33" s="435" t="s">
        <v>1145</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3.8999999999999995</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pane="bottomLeft" sqref="A1:A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0"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11"/>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2" t="s">
        <v>973</v>
      </c>
      <c r="B3" s="2113"/>
      <c r="C3" s="1559"/>
      <c r="D3" s="1560"/>
      <c r="E3" s="1560"/>
      <c r="F3" s="1560"/>
      <c r="G3" s="1560"/>
      <c r="H3" s="1560"/>
      <c r="I3" s="1560"/>
      <c r="J3" s="1560"/>
      <c r="K3" s="1560"/>
      <c r="L3" s="1560"/>
      <c r="M3" s="1561"/>
      <c r="N3" s="1562"/>
    </row>
    <row r="4" spans="1:14" ht="13.5" customHeight="1" x14ac:dyDescent="0.2">
      <c r="A4" s="463" t="s">
        <v>1651</v>
      </c>
      <c r="B4" s="464"/>
      <c r="C4" s="465">
        <v>763859</v>
      </c>
      <c r="D4" s="466">
        <v>204263</v>
      </c>
      <c r="E4" s="466">
        <v>3880</v>
      </c>
      <c r="F4" s="466">
        <v>63783</v>
      </c>
      <c r="G4" s="466">
        <v>141823</v>
      </c>
      <c r="H4" s="466">
        <v>48230</v>
      </c>
      <c r="I4" s="466">
        <v>348842</v>
      </c>
      <c r="J4" s="467">
        <v>98910</v>
      </c>
      <c r="K4" s="466">
        <v>47313</v>
      </c>
      <c r="L4" s="466">
        <v>65942</v>
      </c>
      <c r="M4" s="468"/>
      <c r="N4" s="469"/>
    </row>
    <row r="5" spans="1:14" x14ac:dyDescent="0.2">
      <c r="A5" s="463" t="s">
        <v>992</v>
      </c>
      <c r="B5" s="470">
        <v>120</v>
      </c>
      <c r="C5" s="465"/>
      <c r="D5" s="466"/>
      <c r="E5" s="466"/>
      <c r="F5" s="466"/>
      <c r="G5" s="466"/>
      <c r="H5" s="466"/>
      <c r="I5" s="466">
        <v>500000</v>
      </c>
      <c r="J5" s="467"/>
      <c r="K5" s="471"/>
      <c r="L5" s="472">
        <v>11800</v>
      </c>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763859</v>
      </c>
      <c r="D13" s="1737">
        <f t="shared" ref="D13:L13" si="0">SUM(D4:D12)</f>
        <v>204263</v>
      </c>
      <c r="E13" s="1737">
        <f t="shared" si="0"/>
        <v>3880</v>
      </c>
      <c r="F13" s="1737">
        <f t="shared" si="0"/>
        <v>63783</v>
      </c>
      <c r="G13" s="1737">
        <f t="shared" si="0"/>
        <v>141823</v>
      </c>
      <c r="H13" s="1737">
        <f t="shared" si="0"/>
        <v>48230</v>
      </c>
      <c r="I13" s="1737">
        <f t="shared" si="0"/>
        <v>848842</v>
      </c>
      <c r="J13" s="1737">
        <f t="shared" si="0"/>
        <v>98910</v>
      </c>
      <c r="K13" s="1737">
        <f t="shared" si="0"/>
        <v>47313</v>
      </c>
      <c r="L13" s="1737">
        <f t="shared" si="0"/>
        <v>77742</v>
      </c>
      <c r="M13" s="468"/>
      <c r="N13" s="469"/>
    </row>
    <row r="14" spans="1:14" ht="18" customHeight="1" thickTop="1" x14ac:dyDescent="0.2">
      <c r="A14" s="2114" t="s">
        <v>147</v>
      </c>
      <c r="B14" s="2115"/>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17419</v>
      </c>
      <c r="N16" s="484"/>
    </row>
    <row r="17" spans="1:14" s="485" customFormat="1" ht="12.75" customHeight="1" x14ac:dyDescent="0.2">
      <c r="A17" s="482" t="s">
        <v>1403</v>
      </c>
      <c r="B17" s="483">
        <v>230</v>
      </c>
      <c r="C17" s="477"/>
      <c r="D17" s="477"/>
      <c r="E17" s="477"/>
      <c r="F17" s="477"/>
      <c r="G17" s="477"/>
      <c r="H17" s="477"/>
      <c r="I17" s="477"/>
      <c r="J17" s="477"/>
      <c r="K17" s="477"/>
      <c r="L17" s="477"/>
      <c r="M17" s="467">
        <v>3915790</v>
      </c>
      <c r="N17" s="484"/>
    </row>
    <row r="18" spans="1:14" s="485" customFormat="1" ht="12.75" customHeight="1" x14ac:dyDescent="0.2">
      <c r="A18" s="482" t="s">
        <v>1404</v>
      </c>
      <c r="B18" s="483">
        <v>240</v>
      </c>
      <c r="C18" s="477"/>
      <c r="D18" s="477"/>
      <c r="E18" s="477"/>
      <c r="F18" s="477"/>
      <c r="G18" s="477"/>
      <c r="H18" s="477"/>
      <c r="I18" s="477"/>
      <c r="J18" s="477"/>
      <c r="K18" s="477"/>
      <c r="L18" s="477"/>
      <c r="M18" s="467">
        <v>1630837</v>
      </c>
      <c r="N18" s="484"/>
    </row>
    <row r="19" spans="1:14" s="485" customFormat="1" ht="12.75" customHeight="1" x14ac:dyDescent="0.2">
      <c r="A19" s="482" t="s">
        <v>1405</v>
      </c>
      <c r="B19" s="483">
        <v>250</v>
      </c>
      <c r="C19" s="477"/>
      <c r="D19" s="477"/>
      <c r="E19" s="477"/>
      <c r="F19" s="477"/>
      <c r="G19" s="477"/>
      <c r="H19" s="477"/>
      <c r="I19" s="477"/>
      <c r="J19" s="477"/>
      <c r="K19" s="477"/>
      <c r="L19" s="477"/>
      <c r="M19" s="467">
        <v>1405672</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3880</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4268854</v>
      </c>
    </row>
    <row r="23" spans="1:14" ht="13.5" customHeight="1" thickBot="1" x14ac:dyDescent="0.25">
      <c r="A23" s="1736" t="s">
        <v>643</v>
      </c>
      <c r="B23" s="1741"/>
      <c r="C23" s="468"/>
      <c r="D23" s="468"/>
      <c r="E23" s="468"/>
      <c r="F23" s="468"/>
      <c r="G23" s="468"/>
      <c r="H23" s="468"/>
      <c r="I23" s="468"/>
      <c r="J23" s="468"/>
      <c r="K23" s="468"/>
      <c r="L23" s="468"/>
      <c r="M23" s="1688">
        <f>SUM(M15:M22)</f>
        <v>6969718</v>
      </c>
      <c r="N23" s="1688">
        <f>SUM(N21:N22)</f>
        <v>4272734</v>
      </c>
    </row>
    <row r="24" spans="1:14" ht="18" customHeight="1" thickTop="1" x14ac:dyDescent="0.2">
      <c r="A24" s="2116" t="s">
        <v>598</v>
      </c>
      <c r="B24" s="2117"/>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v>8138</v>
      </c>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77742</v>
      </c>
      <c r="M33" s="468"/>
      <c r="N33" s="469"/>
    </row>
    <row r="34" spans="1:14" ht="13.5" customHeight="1" thickBot="1" x14ac:dyDescent="0.25">
      <c r="A34" s="1738" t="s">
        <v>654</v>
      </c>
      <c r="B34" s="1739"/>
      <c r="C34" s="1740">
        <f>SUM(C25:C33)</f>
        <v>8138</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77742</v>
      </c>
      <c r="M34" s="468"/>
      <c r="N34" s="480"/>
    </row>
    <row r="35" spans="1:14" ht="18" customHeight="1" thickTop="1" x14ac:dyDescent="0.2">
      <c r="A35" s="2118" t="s">
        <v>529</v>
      </c>
      <c r="B35" s="2119"/>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4272734</v>
      </c>
    </row>
    <row r="37" spans="1:14" ht="13.5" thickBot="1" x14ac:dyDescent="0.25">
      <c r="A37" s="1736" t="s">
        <v>653</v>
      </c>
      <c r="B37" s="1741"/>
      <c r="C37" s="477"/>
      <c r="D37" s="477"/>
      <c r="E37" s="477"/>
      <c r="F37" s="477"/>
      <c r="G37" s="477"/>
      <c r="H37" s="477"/>
      <c r="I37" s="477"/>
      <c r="J37" s="477"/>
      <c r="K37" s="477"/>
      <c r="L37" s="480"/>
      <c r="M37" s="468"/>
      <c r="N37" s="1688">
        <f>SUM(N36:N36)</f>
        <v>4272734</v>
      </c>
    </row>
    <row r="38" spans="1:14" s="329" customFormat="1" ht="13.5" customHeight="1" thickTop="1" x14ac:dyDescent="0.2">
      <c r="A38" s="496" t="s">
        <v>420</v>
      </c>
      <c r="B38" s="483">
        <v>714</v>
      </c>
      <c r="C38" s="466">
        <v>814</v>
      </c>
      <c r="D38" s="466"/>
      <c r="E38" s="466"/>
      <c r="F38" s="466"/>
      <c r="G38" s="466">
        <v>141823</v>
      </c>
      <c r="H38" s="466">
        <v>36873</v>
      </c>
      <c r="I38" s="466"/>
      <c r="J38" s="467"/>
      <c r="K38" s="466"/>
      <c r="L38" s="481"/>
      <c r="M38" s="497"/>
      <c r="N38" s="497"/>
    </row>
    <row r="39" spans="1:14" s="329" customFormat="1" ht="13.5" customHeight="1" x14ac:dyDescent="0.2">
      <c r="A39" s="496" t="s">
        <v>342</v>
      </c>
      <c r="B39" s="483">
        <v>730</v>
      </c>
      <c r="C39" s="466">
        <v>754907</v>
      </c>
      <c r="D39" s="466">
        <v>204263</v>
      </c>
      <c r="E39" s="466">
        <v>3880</v>
      </c>
      <c r="F39" s="466">
        <v>63783</v>
      </c>
      <c r="G39" s="466"/>
      <c r="H39" s="466">
        <v>11357</v>
      </c>
      <c r="I39" s="466">
        <v>848842</v>
      </c>
      <c r="J39" s="467">
        <v>98910</v>
      </c>
      <c r="K39" s="466">
        <v>47313</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6969718</v>
      </c>
      <c r="N40" s="497"/>
    </row>
    <row r="41" spans="1:14" ht="13.5" customHeight="1" thickBot="1" x14ac:dyDescent="0.25">
      <c r="A41" s="1736" t="s">
        <v>655</v>
      </c>
      <c r="B41" s="1706"/>
      <c r="C41" s="1688">
        <f>(SUM(C34,C37,C38,C39))</f>
        <v>763859</v>
      </c>
      <c r="D41" s="1688">
        <f t="shared" ref="D41:L41" si="2">SUM(D34,D37,D38:D39)</f>
        <v>204263</v>
      </c>
      <c r="E41" s="1688">
        <f t="shared" si="2"/>
        <v>3880</v>
      </c>
      <c r="F41" s="1688">
        <f t="shared" si="2"/>
        <v>63783</v>
      </c>
      <c r="G41" s="1688">
        <f t="shared" si="2"/>
        <v>141823</v>
      </c>
      <c r="H41" s="1688">
        <f t="shared" si="2"/>
        <v>48230</v>
      </c>
      <c r="I41" s="1688">
        <f t="shared" si="2"/>
        <v>848842</v>
      </c>
      <c r="J41" s="1688">
        <f t="shared" si="2"/>
        <v>98910</v>
      </c>
      <c r="K41" s="1688">
        <f t="shared" si="2"/>
        <v>47313</v>
      </c>
      <c r="L41" s="1688">
        <f t="shared" si="2"/>
        <v>77742</v>
      </c>
      <c r="M41" s="1688">
        <f>SUM(M40)</f>
        <v>6969718</v>
      </c>
      <c r="N41" s="1688">
        <f>SUM(N37)</f>
        <v>4272734</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
      <selection pane="bottomLeft" sqref="A1:A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8"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9"/>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40" t="s">
        <v>1175</v>
      </c>
      <c r="B3" s="2141"/>
      <c r="C3" s="1573"/>
      <c r="D3" s="1574"/>
      <c r="E3" s="1574"/>
      <c r="F3" s="1574"/>
      <c r="G3" s="1574"/>
      <c r="H3" s="1574"/>
      <c r="I3" s="1574"/>
      <c r="J3" s="1574"/>
      <c r="K3" s="1575"/>
      <c r="L3" s="506"/>
    </row>
    <row r="4" spans="1:13" ht="15.75" customHeight="1" x14ac:dyDescent="0.2">
      <c r="A4" s="1928" t="s">
        <v>1499</v>
      </c>
      <c r="B4" s="1929">
        <v>1000</v>
      </c>
      <c r="C4" s="1742">
        <f>'Revenues 9-14'!C109</f>
        <v>2102131</v>
      </c>
      <c r="D4" s="1742">
        <f>'Revenues 9-14'!D109</f>
        <v>328554</v>
      </c>
      <c r="E4" s="1742">
        <f>'Revenues 9-14'!E109</f>
        <v>366174</v>
      </c>
      <c r="F4" s="1742">
        <f>'Revenues 9-14'!F109</f>
        <v>121634</v>
      </c>
      <c r="G4" s="1742">
        <f>'Revenues 9-14'!G109</f>
        <v>48833</v>
      </c>
      <c r="H4" s="1742">
        <f>'Revenues 9-14'!H109</f>
        <v>100412</v>
      </c>
      <c r="I4" s="1742">
        <f>'Revenues 9-14'!I109</f>
        <v>30408</v>
      </c>
      <c r="J4" s="1742">
        <f>'Revenues 9-14'!J109</f>
        <v>232029</v>
      </c>
      <c r="K4" s="1742">
        <f>'Revenues 9-14'!K109</f>
        <v>30408</v>
      </c>
      <c r="L4" s="347"/>
    </row>
    <row r="5" spans="1:13" ht="15.75" customHeight="1" x14ac:dyDescent="0.2">
      <c r="A5" s="1576" t="s">
        <v>1500</v>
      </c>
      <c r="B5" s="1577">
        <v>2000</v>
      </c>
      <c r="C5" s="1743">
        <f>'Revenues 9-14'!C114</f>
        <v>54697</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540978</v>
      </c>
      <c r="D6" s="1743">
        <f>'Revenues 9-14'!D170</f>
        <v>0</v>
      </c>
      <c r="E6" s="1743">
        <f>'Revenues 9-14'!E170</f>
        <v>0</v>
      </c>
      <c r="F6" s="1743">
        <f>'Revenues 9-14'!F170</f>
        <v>105902</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169509</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2867315</v>
      </c>
      <c r="D8" s="1688">
        <f t="shared" ref="D8:K8" si="0">SUM(D4:D7)</f>
        <v>328554</v>
      </c>
      <c r="E8" s="1688">
        <f t="shared" si="0"/>
        <v>366174</v>
      </c>
      <c r="F8" s="1688">
        <f t="shared" si="0"/>
        <v>227536</v>
      </c>
      <c r="G8" s="1688">
        <f t="shared" si="0"/>
        <v>48833</v>
      </c>
      <c r="H8" s="1688">
        <f t="shared" si="0"/>
        <v>100412</v>
      </c>
      <c r="I8" s="1688">
        <f t="shared" si="0"/>
        <v>30408</v>
      </c>
      <c r="J8" s="1688">
        <f t="shared" si="0"/>
        <v>232029</v>
      </c>
      <c r="K8" s="1688">
        <f t="shared" si="0"/>
        <v>30408</v>
      </c>
      <c r="L8" s="347"/>
    </row>
    <row r="9" spans="1:13" ht="15.75" thickTop="1" x14ac:dyDescent="0.2">
      <c r="A9" s="514" t="s">
        <v>1653</v>
      </c>
      <c r="B9" s="515">
        <v>3998</v>
      </c>
      <c r="C9" s="481">
        <v>1182868</v>
      </c>
      <c r="D9" s="516"/>
      <c r="E9" s="481"/>
      <c r="F9" s="481"/>
      <c r="G9" s="517"/>
      <c r="H9" s="481"/>
      <c r="I9" s="509" t="s">
        <v>1169</v>
      </c>
      <c r="J9" s="478"/>
      <c r="K9" s="481"/>
      <c r="L9" s="347"/>
    </row>
    <row r="10" spans="1:13" s="519" customFormat="1" ht="13.5" thickBot="1" x14ac:dyDescent="0.25">
      <c r="A10" s="1736" t="s">
        <v>1173</v>
      </c>
      <c r="B10" s="1709"/>
      <c r="C10" s="1688">
        <f>SUM(C8:C9)</f>
        <v>4050183</v>
      </c>
      <c r="D10" s="1688">
        <f t="shared" ref="D10:K10" si="1">SUM(D8:D9)</f>
        <v>328554</v>
      </c>
      <c r="E10" s="1688">
        <f t="shared" si="1"/>
        <v>366174</v>
      </c>
      <c r="F10" s="1688">
        <f t="shared" si="1"/>
        <v>227536</v>
      </c>
      <c r="G10" s="1688">
        <f t="shared" si="1"/>
        <v>48833</v>
      </c>
      <c r="H10" s="1688">
        <f t="shared" si="1"/>
        <v>100412</v>
      </c>
      <c r="I10" s="1688">
        <f t="shared" si="1"/>
        <v>30408</v>
      </c>
      <c r="J10" s="1688">
        <f t="shared" si="1"/>
        <v>232029</v>
      </c>
      <c r="K10" s="1688">
        <f t="shared" si="1"/>
        <v>30408</v>
      </c>
      <c r="L10" s="518"/>
    </row>
    <row r="11" spans="1:13" s="519" customFormat="1" ht="16.7" customHeight="1" thickTop="1" x14ac:dyDescent="0.2">
      <c r="A11" s="2114" t="s">
        <v>1176</v>
      </c>
      <c r="B11" s="2115"/>
      <c r="C11" s="1570"/>
      <c r="D11" s="1571"/>
      <c r="E11" s="1571"/>
      <c r="F11" s="1571"/>
      <c r="G11" s="1571"/>
      <c r="H11" s="1571"/>
      <c r="I11" s="1571"/>
      <c r="J11" s="1571"/>
      <c r="K11" s="1572"/>
      <c r="L11" s="518"/>
    </row>
    <row r="12" spans="1:13" ht="15.75" customHeight="1" x14ac:dyDescent="0.2">
      <c r="A12" s="1576" t="s">
        <v>456</v>
      </c>
      <c r="B12" s="1578">
        <v>1000</v>
      </c>
      <c r="C12" s="1742">
        <f>'Expenditures 15-22'!K33</f>
        <v>1822949</v>
      </c>
      <c r="D12" s="520" t="s">
        <v>1169</v>
      </c>
      <c r="E12" s="468" t="s">
        <v>1169</v>
      </c>
      <c r="F12" s="468" t="s">
        <v>1169</v>
      </c>
      <c r="G12" s="1742">
        <f>'Expenditures 15-22'!K229</f>
        <v>27619</v>
      </c>
      <c r="H12" s="521"/>
      <c r="I12" s="468" t="s">
        <v>1169</v>
      </c>
      <c r="J12" s="468" t="s">
        <v>1169</v>
      </c>
      <c r="K12" s="521" t="s">
        <v>1169</v>
      </c>
      <c r="L12" s="347"/>
    </row>
    <row r="13" spans="1:13" ht="15.75" customHeight="1" x14ac:dyDescent="0.2">
      <c r="A13" s="1576" t="s">
        <v>457</v>
      </c>
      <c r="B13" s="1578">
        <v>2000</v>
      </c>
      <c r="C13" s="1743">
        <f>'Expenditures 15-22'!K74</f>
        <v>788506</v>
      </c>
      <c r="D13" s="1743">
        <f>'Expenditures 15-22'!K129</f>
        <v>279368</v>
      </c>
      <c r="E13" s="469" t="s">
        <v>1169</v>
      </c>
      <c r="F13" s="1743">
        <f>'Expenditures 15-22'!K184</f>
        <v>296270</v>
      </c>
      <c r="G13" s="1743">
        <f>'Expenditures 15-22'!K279</f>
        <v>39869</v>
      </c>
      <c r="H13" s="1743">
        <f>'Expenditures 15-22'!K303</f>
        <v>148295</v>
      </c>
      <c r="I13" s="468" t="s">
        <v>1169</v>
      </c>
      <c r="J13" s="1743">
        <f>'Expenditures 15-22'!K330</f>
        <v>228324</v>
      </c>
      <c r="K13" s="1747">
        <f>'Expenditures 15-22'!K352</f>
        <v>896443</v>
      </c>
      <c r="L13" s="347"/>
    </row>
    <row r="14" spans="1:13" ht="15.75" customHeight="1" x14ac:dyDescent="0.2">
      <c r="A14" s="1576" t="s">
        <v>449</v>
      </c>
      <c r="B14" s="1578">
        <v>3000</v>
      </c>
      <c r="C14" s="1743">
        <f>'Expenditures 15-22'!K75</f>
        <v>0</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63017</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14</v>
      </c>
      <c r="D16" s="1743">
        <f>'Expenditures 15-22'!K149</f>
        <v>0</v>
      </c>
      <c r="E16" s="1743">
        <f>'Expenditures 15-22'!K172</f>
        <v>426854</v>
      </c>
      <c r="F16" s="1743">
        <f>'Expenditures 15-22'!K208</f>
        <v>0</v>
      </c>
      <c r="G16" s="1743">
        <f>'Expenditures 15-22'!K293</f>
        <v>0</v>
      </c>
      <c r="H16" s="523"/>
      <c r="I16" s="468" t="s">
        <v>1169</v>
      </c>
      <c r="J16" s="1748">
        <f>'Expenditures 15-22'!K340</f>
        <v>0</v>
      </c>
      <c r="K16" s="1743">
        <f>'Expenditures 15-22'!K365</f>
        <v>16000</v>
      </c>
      <c r="L16" s="347"/>
    </row>
    <row r="17" spans="1:12" ht="13.5" thickBot="1" x14ac:dyDescent="0.25">
      <c r="A17" s="1708" t="s">
        <v>48</v>
      </c>
      <c r="B17" s="1709"/>
      <c r="C17" s="1688">
        <f t="shared" ref="C17:H17" si="2">SUM(C12:C16)</f>
        <v>2674486</v>
      </c>
      <c r="D17" s="1688">
        <f t="shared" si="2"/>
        <v>279368</v>
      </c>
      <c r="E17" s="1688">
        <f t="shared" si="2"/>
        <v>426854</v>
      </c>
      <c r="F17" s="1688">
        <f t="shared" si="2"/>
        <v>296270</v>
      </c>
      <c r="G17" s="1688">
        <f t="shared" si="2"/>
        <v>67488</v>
      </c>
      <c r="H17" s="1688">
        <f t="shared" si="2"/>
        <v>148295</v>
      </c>
      <c r="I17" s="468"/>
      <c r="J17" s="1688">
        <f>SUM(J12:J16)</f>
        <v>228324</v>
      </c>
      <c r="K17" s="1688">
        <f>SUM(K12:K16)</f>
        <v>912443</v>
      </c>
      <c r="L17" s="347"/>
    </row>
    <row r="18" spans="1:12" ht="15" customHeight="1" thickTop="1" x14ac:dyDescent="0.2">
      <c r="A18" s="1744" t="s">
        <v>1654</v>
      </c>
      <c r="B18" s="1745">
        <v>4180</v>
      </c>
      <c r="C18" s="1742">
        <f t="shared" ref="C18:H18" si="3">C9</f>
        <v>1182868</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3857354</v>
      </c>
      <c r="D19" s="1688">
        <f t="shared" si="4"/>
        <v>279368</v>
      </c>
      <c r="E19" s="1688">
        <f t="shared" si="4"/>
        <v>426854</v>
      </c>
      <c r="F19" s="1688">
        <f t="shared" si="4"/>
        <v>296270</v>
      </c>
      <c r="G19" s="1688">
        <f t="shared" si="4"/>
        <v>67488</v>
      </c>
      <c r="H19" s="1688">
        <f t="shared" si="4"/>
        <v>148295</v>
      </c>
      <c r="I19" s="468"/>
      <c r="J19" s="1688">
        <f>SUM(J17:J18)</f>
        <v>228324</v>
      </c>
      <c r="K19" s="1688">
        <f>SUM(K17:K18)</f>
        <v>912443</v>
      </c>
      <c r="L19" s="347"/>
    </row>
    <row r="20" spans="1:12" ht="16.5" thickTop="1" thickBot="1" x14ac:dyDescent="0.25">
      <c r="A20" s="2130" t="s">
        <v>1655</v>
      </c>
      <c r="B20" s="2131"/>
      <c r="C20" s="1746">
        <f>C8-C17</f>
        <v>192829</v>
      </c>
      <c r="D20" s="1746">
        <f t="shared" ref="D20:K20" si="5">D8-D17</f>
        <v>49186</v>
      </c>
      <c r="E20" s="1746">
        <f t="shared" si="5"/>
        <v>-60680</v>
      </c>
      <c r="F20" s="1746">
        <f t="shared" si="5"/>
        <v>-68734</v>
      </c>
      <c r="G20" s="1746">
        <f t="shared" si="5"/>
        <v>-18655</v>
      </c>
      <c r="H20" s="1746">
        <f t="shared" si="5"/>
        <v>-47883</v>
      </c>
      <c r="I20" s="1746">
        <f t="shared" si="5"/>
        <v>30408</v>
      </c>
      <c r="J20" s="1746">
        <f t="shared" si="5"/>
        <v>3705</v>
      </c>
      <c r="K20" s="1746">
        <f t="shared" si="5"/>
        <v>-882035</v>
      </c>
      <c r="L20" s="347"/>
    </row>
    <row r="21" spans="1:12" ht="16.7" customHeight="1" thickTop="1" x14ac:dyDescent="0.2">
      <c r="A21" s="2142" t="s">
        <v>595</v>
      </c>
      <c r="B21" s="2143"/>
      <c r="C21" s="1570"/>
      <c r="D21" s="1571"/>
      <c r="E21" s="1571"/>
      <c r="F21" s="1571"/>
      <c r="G21" s="1571"/>
      <c r="H21" s="1571"/>
      <c r="I21" s="1571"/>
      <c r="J21" s="1571"/>
      <c r="K21" s="1572"/>
      <c r="L21" s="524"/>
    </row>
    <row r="22" spans="1:12" ht="15.75" customHeight="1" collapsed="1" x14ac:dyDescent="0.2">
      <c r="A22" s="2138" t="s">
        <v>596</v>
      </c>
      <c r="B22" s="2139"/>
      <c r="C22" s="477"/>
      <c r="D22" s="477"/>
      <c r="E22" s="477"/>
      <c r="F22" s="477"/>
      <c r="G22" s="477"/>
      <c r="H22" s="477"/>
      <c r="I22" s="477"/>
      <c r="J22" s="477"/>
      <c r="K22" s="477"/>
      <c r="L22" s="347"/>
    </row>
    <row r="23" spans="1:12" s="485" customFormat="1" ht="15.75" customHeight="1" x14ac:dyDescent="0.2">
      <c r="A23" s="2134" t="s">
        <v>293</v>
      </c>
      <c r="B23" s="2135"/>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v>60000</v>
      </c>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6" t="s">
        <v>981</v>
      </c>
      <c r="B32" s="2137"/>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44" t="s">
        <v>374</v>
      </c>
      <c r="B44" s="2145"/>
      <c r="C44" s="1703">
        <f>SUM(C24:C43)</f>
        <v>0</v>
      </c>
      <c r="D44" s="1703">
        <f t="shared" ref="D44:K44" si="6">SUM(D24:D43)</f>
        <v>0</v>
      </c>
      <c r="E44" s="1703">
        <f t="shared" si="6"/>
        <v>0</v>
      </c>
      <c r="F44" s="1703">
        <f t="shared" si="6"/>
        <v>60000</v>
      </c>
      <c r="G44" s="1703">
        <f t="shared" si="6"/>
        <v>0</v>
      </c>
      <c r="H44" s="1703">
        <f t="shared" si="6"/>
        <v>0</v>
      </c>
      <c r="I44" s="1703">
        <f t="shared" si="6"/>
        <v>0</v>
      </c>
      <c r="J44" s="1703">
        <f t="shared" si="6"/>
        <v>0</v>
      </c>
      <c r="K44" s="1703">
        <f t="shared" si="6"/>
        <v>0</v>
      </c>
      <c r="L44" s="524"/>
    </row>
    <row r="45" spans="1:12" ht="15.75" customHeight="1" thickTop="1" x14ac:dyDescent="0.2">
      <c r="A45" s="2138" t="s">
        <v>108</v>
      </c>
      <c r="B45" s="2139"/>
      <c r="C45" s="528"/>
      <c r="D45" s="528"/>
      <c r="E45" s="528"/>
      <c r="F45" s="528"/>
      <c r="G45" s="528"/>
      <c r="H45" s="528"/>
      <c r="I45" s="528"/>
      <c r="J45" s="528"/>
      <c r="K45" s="528"/>
      <c r="L45" s="347"/>
    </row>
    <row r="46" spans="1:12" s="485" customFormat="1" ht="15.75" customHeight="1" x14ac:dyDescent="0.2">
      <c r="A46" s="2146" t="s">
        <v>109</v>
      </c>
      <c r="B46" s="2147"/>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60000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20" t="s">
        <v>440</v>
      </c>
      <c r="B76" s="2121"/>
      <c r="C76" s="1703">
        <f t="shared" ref="C76:K76" si="7">SUM(C47:C75)</f>
        <v>0</v>
      </c>
      <c r="D76" s="1703">
        <f t="shared" si="7"/>
        <v>0</v>
      </c>
      <c r="E76" s="1703">
        <f t="shared" si="7"/>
        <v>0</v>
      </c>
      <c r="F76" s="1703">
        <f t="shared" si="7"/>
        <v>0</v>
      </c>
      <c r="G76" s="1703">
        <f t="shared" si="7"/>
        <v>0</v>
      </c>
      <c r="H76" s="1703">
        <f t="shared" si="7"/>
        <v>0</v>
      </c>
      <c r="I76" s="1703">
        <f t="shared" si="7"/>
        <v>60000</v>
      </c>
      <c r="J76" s="1703">
        <f t="shared" si="7"/>
        <v>0</v>
      </c>
      <c r="K76" s="1703">
        <f t="shared" si="7"/>
        <v>0</v>
      </c>
      <c r="L76" s="524"/>
    </row>
    <row r="77" spans="1:12" ht="14.25" thickTop="1" thickBot="1" x14ac:dyDescent="0.25">
      <c r="A77" s="2122" t="s">
        <v>1177</v>
      </c>
      <c r="B77" s="2123"/>
      <c r="C77" s="1703">
        <f t="shared" ref="C77:K77" si="8">C44-C76</f>
        <v>0</v>
      </c>
      <c r="D77" s="1703">
        <f t="shared" si="8"/>
        <v>0</v>
      </c>
      <c r="E77" s="1703">
        <f t="shared" si="8"/>
        <v>0</v>
      </c>
      <c r="F77" s="1703">
        <f t="shared" si="8"/>
        <v>60000</v>
      </c>
      <c r="G77" s="1703">
        <f t="shared" si="8"/>
        <v>0</v>
      </c>
      <c r="H77" s="1703">
        <f t="shared" si="8"/>
        <v>0</v>
      </c>
      <c r="I77" s="1703">
        <f t="shared" si="8"/>
        <v>-60000</v>
      </c>
      <c r="J77" s="1703">
        <f t="shared" si="8"/>
        <v>0</v>
      </c>
      <c r="K77" s="1703">
        <f t="shared" si="8"/>
        <v>0</v>
      </c>
      <c r="L77" s="347"/>
    </row>
    <row r="78" spans="1:12" ht="21.75" customHeight="1" thickTop="1" thickBot="1" x14ac:dyDescent="0.25">
      <c r="A78" s="2126" t="s">
        <v>597</v>
      </c>
      <c r="B78" s="2127"/>
      <c r="C78" s="1702">
        <f t="shared" ref="C78:K78" si="9">C20+C77</f>
        <v>192829</v>
      </c>
      <c r="D78" s="1702">
        <f t="shared" si="9"/>
        <v>49186</v>
      </c>
      <c r="E78" s="1702">
        <f t="shared" si="9"/>
        <v>-60680</v>
      </c>
      <c r="F78" s="1702">
        <f t="shared" si="9"/>
        <v>-8734</v>
      </c>
      <c r="G78" s="1702">
        <f t="shared" si="9"/>
        <v>-18655</v>
      </c>
      <c r="H78" s="1702">
        <f t="shared" si="9"/>
        <v>-47883</v>
      </c>
      <c r="I78" s="1702">
        <f t="shared" si="9"/>
        <v>-29592</v>
      </c>
      <c r="J78" s="1702">
        <f t="shared" si="9"/>
        <v>3705</v>
      </c>
      <c r="K78" s="1702">
        <f t="shared" si="9"/>
        <v>-882035</v>
      </c>
      <c r="L78" s="533"/>
    </row>
    <row r="79" spans="1:12" ht="13.5" thickTop="1" x14ac:dyDescent="0.2">
      <c r="A79" s="1494" t="s">
        <v>1947</v>
      </c>
      <c r="B79" s="534"/>
      <c r="C79" s="478">
        <v>562892</v>
      </c>
      <c r="D79" s="535">
        <v>155077</v>
      </c>
      <c r="E79" s="535">
        <v>64560</v>
      </c>
      <c r="F79" s="535">
        <v>72517</v>
      </c>
      <c r="G79" s="535">
        <v>160478</v>
      </c>
      <c r="H79" s="535">
        <v>96113</v>
      </c>
      <c r="I79" s="535">
        <v>878434</v>
      </c>
      <c r="J79" s="535">
        <v>95205</v>
      </c>
      <c r="K79" s="535">
        <v>929348</v>
      </c>
      <c r="L79" s="347"/>
    </row>
    <row r="80" spans="1:12" x14ac:dyDescent="0.2">
      <c r="A80" s="2132" t="s">
        <v>1795</v>
      </c>
      <c r="B80" s="2133"/>
      <c r="C80" s="467"/>
      <c r="D80" s="467"/>
      <c r="E80" s="467"/>
      <c r="F80" s="467"/>
      <c r="G80" s="467"/>
      <c r="H80" s="467"/>
      <c r="I80" s="467"/>
      <c r="J80" s="467"/>
      <c r="K80" s="467"/>
      <c r="L80" s="347"/>
    </row>
    <row r="81" spans="1:12" ht="13.5" thickBot="1" x14ac:dyDescent="0.25">
      <c r="A81" s="2124" t="s">
        <v>1948</v>
      </c>
      <c r="B81" s="2125"/>
      <c r="C81" s="1688">
        <f>(SUM(C78:C80))</f>
        <v>755721</v>
      </c>
      <c r="D81" s="1688">
        <f>SUM(D78:D80)</f>
        <v>204263</v>
      </c>
      <c r="E81" s="1688">
        <f t="shared" ref="E81:K81" si="10">SUM(E78:E80)</f>
        <v>3880</v>
      </c>
      <c r="F81" s="1688">
        <f t="shared" si="10"/>
        <v>63783</v>
      </c>
      <c r="G81" s="1688">
        <f t="shared" si="10"/>
        <v>141823</v>
      </c>
      <c r="H81" s="1688">
        <f t="shared" si="10"/>
        <v>48230</v>
      </c>
      <c r="I81" s="1688">
        <f t="shared" si="10"/>
        <v>848842</v>
      </c>
      <c r="J81" s="1688">
        <f t="shared" si="10"/>
        <v>98910</v>
      </c>
      <c r="K81" s="1688">
        <f t="shared" si="10"/>
        <v>47313</v>
      </c>
      <c r="L81" s="347"/>
    </row>
    <row r="82" spans="1:12" ht="0.75" customHeight="1" thickTop="1" thickBot="1" x14ac:dyDescent="0.25">
      <c r="A82" s="536" t="s">
        <v>343</v>
      </c>
      <c r="B82" s="537"/>
      <c r="C82" s="538">
        <f>(C81-C79)</f>
        <v>192829</v>
      </c>
      <c r="D82" s="538">
        <f t="shared" ref="D82:K82" si="11">(D81-D79)</f>
        <v>49186</v>
      </c>
      <c r="E82" s="538">
        <f t="shared" si="11"/>
        <v>-60680</v>
      </c>
      <c r="F82" s="538">
        <f t="shared" si="11"/>
        <v>-8734</v>
      </c>
      <c r="G82" s="538">
        <f t="shared" si="11"/>
        <v>-18655</v>
      </c>
      <c r="H82" s="538">
        <f t="shared" si="11"/>
        <v>-47883</v>
      </c>
      <c r="I82" s="538">
        <f t="shared" si="11"/>
        <v>-29592</v>
      </c>
      <c r="J82" s="538">
        <f t="shared" si="11"/>
        <v>3705</v>
      </c>
      <c r="K82" s="538">
        <f t="shared" si="11"/>
        <v>-882035</v>
      </c>
    </row>
    <row r="83" spans="1:12" ht="14.25" hidden="1" thickTop="1" thickBot="1" x14ac:dyDescent="0.25">
      <c r="A83" s="539" t="s">
        <v>344</v>
      </c>
      <c r="B83" s="464"/>
      <c r="C83" s="540">
        <f>C82/C81</f>
        <v>0.25515898062909459</v>
      </c>
      <c r="D83" s="540">
        <f t="shared" ref="D83:K83" si="12">D82/D81</f>
        <v>0.24079740334764496</v>
      </c>
      <c r="E83" s="540">
        <f t="shared" si="12"/>
        <v>-15.639175257731958</v>
      </c>
      <c r="F83" s="540">
        <f t="shared" si="12"/>
        <v>-0.1369330385839487</v>
      </c>
      <c r="G83" s="540">
        <f t="shared" si="12"/>
        <v>-0.131537197774691</v>
      </c>
      <c r="H83" s="540">
        <f t="shared" si="12"/>
        <v>-0.99280530789964749</v>
      </c>
      <c r="I83" s="540">
        <f t="shared" si="12"/>
        <v>-3.4861611465973642E-2</v>
      </c>
      <c r="J83" s="540">
        <f t="shared" si="12"/>
        <v>3.7458295420078856E-2</v>
      </c>
      <c r="K83" s="540">
        <f t="shared" si="12"/>
        <v>-18.642550673176505</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79"/>
  <sheetViews>
    <sheetView showGridLines="0" defaultGridColor="0" colorId="8" zoomScale="110" zoomScaleNormal="110" zoomScaleSheetLayoutView="75" workbookViewId="0">
      <pane ySplit="2" topLeftCell="A3" activePane="bottomLeft" state="frozen"/>
      <selection pane="bottomLeft" activeCell="C16" sqref="C16"/>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8" t="s">
        <v>1802</v>
      </c>
      <c r="B1" s="452"/>
      <c r="C1" s="453" t="s">
        <v>425</v>
      </c>
      <c r="D1" s="453" t="s">
        <v>426</v>
      </c>
      <c r="E1" s="453" t="s">
        <v>427</v>
      </c>
      <c r="F1" s="453" t="s">
        <v>428</v>
      </c>
      <c r="G1" s="453" t="s">
        <v>429</v>
      </c>
      <c r="H1" s="453" t="s">
        <v>430</v>
      </c>
      <c r="I1" s="453" t="s">
        <v>431</v>
      </c>
      <c r="J1" s="453" t="s">
        <v>432</v>
      </c>
      <c r="K1" s="453" t="s">
        <v>756</v>
      </c>
    </row>
    <row r="2" spans="1:12" ht="36" x14ac:dyDescent="0.2">
      <c r="A2" s="2129"/>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1873227</v>
      </c>
      <c r="D5" s="481">
        <v>319275</v>
      </c>
      <c r="E5" s="466">
        <v>366169</v>
      </c>
      <c r="F5" s="548">
        <v>121632</v>
      </c>
      <c r="G5" s="466">
        <v>23478</v>
      </c>
      <c r="H5" s="466"/>
      <c r="I5" s="466">
        <v>30408</v>
      </c>
      <c r="J5" s="467">
        <v>231587</v>
      </c>
      <c r="K5" s="466">
        <v>30408</v>
      </c>
    </row>
    <row r="6" spans="1:12" ht="15" x14ac:dyDescent="0.2">
      <c r="A6" s="463" t="s">
        <v>1662</v>
      </c>
      <c r="B6" s="470">
        <v>1130</v>
      </c>
      <c r="C6" s="466">
        <v>24954</v>
      </c>
      <c r="D6" s="466"/>
      <c r="E6" s="475"/>
      <c r="F6" s="475"/>
      <c r="G6" s="468"/>
      <c r="H6" s="468"/>
      <c r="I6" s="468"/>
      <c r="J6" s="468"/>
      <c r="K6" s="468"/>
    </row>
    <row r="7" spans="1:12" x14ac:dyDescent="0.2">
      <c r="A7" s="463" t="s">
        <v>110</v>
      </c>
      <c r="B7" s="549">
        <v>1140</v>
      </c>
      <c r="C7" s="466">
        <v>24325</v>
      </c>
      <c r="D7" s="466"/>
      <c r="E7" s="468"/>
      <c r="F7" s="467"/>
      <c r="G7" s="467"/>
      <c r="H7" s="467"/>
      <c r="I7" s="468"/>
      <c r="J7" s="468"/>
      <c r="K7" s="468"/>
    </row>
    <row r="8" spans="1:12" x14ac:dyDescent="0.2">
      <c r="A8" s="463" t="s">
        <v>413</v>
      </c>
      <c r="B8" s="470">
        <v>1150</v>
      </c>
      <c r="C8" s="475"/>
      <c r="D8" s="475"/>
      <c r="E8" s="477"/>
      <c r="F8" s="477"/>
      <c r="G8" s="481">
        <v>23478</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1922506</v>
      </c>
      <c r="D12" s="1707">
        <f t="shared" si="0"/>
        <v>319275</v>
      </c>
      <c r="E12" s="1707">
        <f t="shared" si="0"/>
        <v>366169</v>
      </c>
      <c r="F12" s="1707">
        <f t="shared" si="0"/>
        <v>121632</v>
      </c>
      <c r="G12" s="1707">
        <f t="shared" si="0"/>
        <v>46956</v>
      </c>
      <c r="H12" s="1707">
        <f t="shared" si="0"/>
        <v>0</v>
      </c>
      <c r="I12" s="1707">
        <f t="shared" si="0"/>
        <v>30408</v>
      </c>
      <c r="J12" s="1707">
        <f t="shared" si="0"/>
        <v>231587</v>
      </c>
      <c r="K12" s="1688">
        <f t="shared" si="0"/>
        <v>30408</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v>507</v>
      </c>
      <c r="D14" s="466">
        <v>5</v>
      </c>
      <c r="E14" s="466">
        <v>5</v>
      </c>
      <c r="F14" s="466">
        <v>2</v>
      </c>
      <c r="G14" s="466">
        <v>1</v>
      </c>
      <c r="H14" s="466"/>
      <c r="I14" s="466"/>
      <c r="J14" s="467">
        <v>3</v>
      </c>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73733</v>
      </c>
      <c r="D16" s="466"/>
      <c r="E16" s="466"/>
      <c r="F16" s="466"/>
      <c r="G16" s="466">
        <v>1876</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74240</v>
      </c>
      <c r="D18" s="1710">
        <f t="shared" ref="D18:K18" si="1">SUM(D14:D17)</f>
        <v>5</v>
      </c>
      <c r="E18" s="1710">
        <f t="shared" si="1"/>
        <v>5</v>
      </c>
      <c r="F18" s="1710">
        <f t="shared" si="1"/>
        <v>2</v>
      </c>
      <c r="G18" s="1710">
        <f t="shared" si="1"/>
        <v>1877</v>
      </c>
      <c r="H18" s="1710">
        <f t="shared" si="1"/>
        <v>0</v>
      </c>
      <c r="I18" s="1710">
        <f t="shared" si="1"/>
        <v>0</v>
      </c>
      <c r="J18" s="1710">
        <f t="shared" si="1"/>
        <v>3</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0</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3471</v>
      </c>
      <c r="D65" s="466"/>
      <c r="E65" s="466"/>
      <c r="F65" s="467"/>
      <c r="G65" s="466"/>
      <c r="H65" s="466"/>
      <c r="I65" s="466"/>
      <c r="J65" s="467"/>
      <c r="K65" s="466"/>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3471</v>
      </c>
      <c r="D67" s="1688">
        <f t="shared" ref="D67:K67" si="2">SUM(D65:D66)</f>
        <v>0</v>
      </c>
      <c r="E67" s="1688">
        <f t="shared" si="2"/>
        <v>0</v>
      </c>
      <c r="F67" s="1688">
        <f t="shared" si="2"/>
        <v>0</v>
      </c>
      <c r="G67" s="1688">
        <f t="shared" si="2"/>
        <v>0</v>
      </c>
      <c r="H67" s="1688">
        <f t="shared" si="2"/>
        <v>0</v>
      </c>
      <c r="I67" s="1688">
        <f t="shared" si="2"/>
        <v>0</v>
      </c>
      <c r="J67" s="1688">
        <f t="shared" si="2"/>
        <v>0</v>
      </c>
      <c r="K67" s="1688">
        <f t="shared" si="2"/>
        <v>0</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21893</v>
      </c>
      <c r="D69" s="468"/>
      <c r="E69" s="468"/>
      <c r="F69" s="468"/>
      <c r="G69" s="468"/>
      <c r="H69" s="468"/>
      <c r="I69" s="468"/>
      <c r="J69" s="468"/>
      <c r="K69" s="468"/>
    </row>
    <row r="70" spans="1:11" ht="12.75" customHeight="1" x14ac:dyDescent="0.2">
      <c r="A70" s="463" t="s">
        <v>997</v>
      </c>
      <c r="B70" s="470">
        <v>1612</v>
      </c>
      <c r="C70" s="551">
        <v>1121</v>
      </c>
      <c r="D70" s="468"/>
      <c r="E70" s="468"/>
      <c r="F70" s="468"/>
      <c r="G70" s="468"/>
      <c r="H70" s="468"/>
      <c r="I70" s="468"/>
      <c r="J70" s="468"/>
      <c r="K70" s="468"/>
    </row>
    <row r="71" spans="1:11" ht="12.75" customHeight="1" x14ac:dyDescent="0.2">
      <c r="A71" s="463" t="s">
        <v>273</v>
      </c>
      <c r="B71" s="470">
        <v>1613</v>
      </c>
      <c r="C71" s="551">
        <v>542</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1395</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24951</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19417</v>
      </c>
      <c r="D77" s="466"/>
      <c r="E77" s="468"/>
      <c r="F77" s="468"/>
      <c r="G77" s="468"/>
      <c r="H77" s="468"/>
      <c r="I77" s="468"/>
      <c r="J77" s="468"/>
      <c r="K77" s="468"/>
    </row>
    <row r="78" spans="1:11" ht="12.75" customHeight="1" x14ac:dyDescent="0.2">
      <c r="A78" s="463" t="s">
        <v>76</v>
      </c>
      <c r="B78" s="470">
        <v>1719</v>
      </c>
      <c r="C78" s="551">
        <v>5902</v>
      </c>
      <c r="D78" s="466"/>
      <c r="E78" s="468"/>
      <c r="F78" s="468"/>
      <c r="G78" s="468"/>
      <c r="H78" s="468"/>
      <c r="I78" s="468"/>
      <c r="J78" s="468"/>
      <c r="K78" s="468"/>
    </row>
    <row r="79" spans="1:11" ht="12.75" customHeight="1" x14ac:dyDescent="0.2">
      <c r="A79" s="463" t="s">
        <v>550</v>
      </c>
      <c r="B79" s="470">
        <v>1720</v>
      </c>
      <c r="C79" s="551">
        <v>13473</v>
      </c>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38792</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9098</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9098</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v>57</v>
      </c>
      <c r="E95" s="521"/>
      <c r="F95" s="521"/>
      <c r="G95" s="521"/>
      <c r="H95" s="521"/>
      <c r="I95" s="521"/>
      <c r="J95" s="521"/>
      <c r="K95" s="521"/>
    </row>
    <row r="96" spans="1:11" ht="12.75" customHeight="1" x14ac:dyDescent="0.2">
      <c r="A96" s="463" t="s">
        <v>391</v>
      </c>
      <c r="B96" s="470">
        <v>1920</v>
      </c>
      <c r="C96" s="551"/>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v>20022</v>
      </c>
      <c r="D98" s="466"/>
      <c r="E98" s="512"/>
      <c r="F98" s="466"/>
      <c r="G98" s="512"/>
      <c r="H98" s="512"/>
      <c r="I98" s="510"/>
      <c r="J98" s="512"/>
      <c r="K98" s="512"/>
    </row>
    <row r="99" spans="1:12" ht="12.75" customHeight="1" x14ac:dyDescent="0.2">
      <c r="A99" s="463" t="s">
        <v>821</v>
      </c>
      <c r="B99" s="470">
        <v>1950</v>
      </c>
      <c r="C99" s="489">
        <v>13</v>
      </c>
      <c r="D99" s="466"/>
      <c r="E99" s="466"/>
      <c r="F99" s="466"/>
      <c r="G99" s="466"/>
      <c r="H99" s="466"/>
      <c r="I99" s="468"/>
      <c r="J99" s="467">
        <v>439</v>
      </c>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v>6200</v>
      </c>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v>100412</v>
      </c>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2838</v>
      </c>
      <c r="D107" s="466">
        <v>9217</v>
      </c>
      <c r="E107" s="466"/>
      <c r="F107" s="466"/>
      <c r="G107" s="466"/>
      <c r="H107" s="466"/>
      <c r="I107" s="466"/>
      <c r="J107" s="467"/>
      <c r="K107" s="466"/>
    </row>
    <row r="108" spans="1:12" ht="12.75" customHeight="1" thickBot="1" x14ac:dyDescent="0.25">
      <c r="A108" s="1708" t="s">
        <v>487</v>
      </c>
      <c r="B108" s="1712"/>
      <c r="C108" s="1707">
        <f>SUM(C95:C107)</f>
        <v>29073</v>
      </c>
      <c r="D108" s="1707">
        <f t="shared" ref="D108:K108" si="3">SUM(D95:D107)</f>
        <v>9274</v>
      </c>
      <c r="E108" s="1707">
        <f t="shared" si="3"/>
        <v>0</v>
      </c>
      <c r="F108" s="1707">
        <f t="shared" si="3"/>
        <v>0</v>
      </c>
      <c r="G108" s="1707">
        <f t="shared" si="3"/>
        <v>0</v>
      </c>
      <c r="H108" s="1707">
        <f t="shared" si="3"/>
        <v>100412</v>
      </c>
      <c r="I108" s="1707">
        <f t="shared" si="3"/>
        <v>0</v>
      </c>
      <c r="J108" s="1707">
        <f t="shared" si="3"/>
        <v>439</v>
      </c>
      <c r="K108" s="1688">
        <f t="shared" si="3"/>
        <v>0</v>
      </c>
    </row>
    <row r="109" spans="1:12" ht="14.25" thickTop="1" thickBot="1" x14ac:dyDescent="0.25">
      <c r="A109" s="1713" t="s">
        <v>248</v>
      </c>
      <c r="B109" s="1714" t="s">
        <v>570</v>
      </c>
      <c r="C109" s="1715">
        <f t="shared" ref="C109:K109" si="4">SUM(C12,C18,C40,C63,C67,C75,C82,C93,C108,)</f>
        <v>2102131</v>
      </c>
      <c r="D109" s="1715">
        <f t="shared" si="4"/>
        <v>328554</v>
      </c>
      <c r="E109" s="1715">
        <f t="shared" si="4"/>
        <v>366174</v>
      </c>
      <c r="F109" s="1715">
        <f t="shared" si="4"/>
        <v>121634</v>
      </c>
      <c r="G109" s="1715">
        <f t="shared" si="4"/>
        <v>48833</v>
      </c>
      <c r="H109" s="1715">
        <f t="shared" si="4"/>
        <v>100412</v>
      </c>
      <c r="I109" s="1715">
        <f t="shared" si="4"/>
        <v>30408</v>
      </c>
      <c r="J109" s="1715">
        <f t="shared" si="4"/>
        <v>232029</v>
      </c>
      <c r="K109" s="1702">
        <f t="shared" si="4"/>
        <v>30408</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v>54697</v>
      </c>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54697</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424146</v>
      </c>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1934</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424146</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0</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v>6064</v>
      </c>
      <c r="D140" s="466"/>
      <c r="E140" s="561"/>
      <c r="F140" s="477"/>
      <c r="G140" s="467"/>
      <c r="H140" s="468"/>
      <c r="I140" s="468"/>
      <c r="J140" s="468"/>
      <c r="K140" s="468"/>
    </row>
    <row r="141" spans="1:11" ht="12.75" customHeight="1" thickBot="1" x14ac:dyDescent="0.25">
      <c r="A141" s="1708" t="s">
        <v>603</v>
      </c>
      <c r="B141" s="1720"/>
      <c r="C141" s="1707">
        <f>SUM(C134:C140)</f>
        <v>6064</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1080</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v>4667</v>
      </c>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45058</v>
      </c>
      <c r="G152" s="467"/>
      <c r="H152" s="468"/>
      <c r="I152" s="468"/>
      <c r="J152" s="468"/>
      <c r="K152" s="468"/>
    </row>
    <row r="153" spans="1:11" ht="12.75" customHeight="1" x14ac:dyDescent="0.2">
      <c r="A153" s="463" t="s">
        <v>1057</v>
      </c>
      <c r="B153" s="562">
        <v>3510</v>
      </c>
      <c r="C153" s="551"/>
      <c r="D153" s="466"/>
      <c r="E153" s="561"/>
      <c r="F153" s="466">
        <v>60844</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105902</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v>103954</v>
      </c>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v>1067</v>
      </c>
      <c r="D168" s="580"/>
      <c r="E168" s="580"/>
      <c r="F168" s="580"/>
      <c r="G168" s="581"/>
      <c r="H168" s="582"/>
      <c r="I168" s="581"/>
      <c r="J168" s="581"/>
      <c r="K168" s="582"/>
    </row>
    <row r="169" spans="1:11" ht="12.75" customHeight="1" thickTop="1" thickBot="1" x14ac:dyDescent="0.25">
      <c r="A169" s="2148" t="s">
        <v>398</v>
      </c>
      <c r="B169" s="2149"/>
      <c r="C169" s="1722">
        <f t="shared" ref="C169:K169" si="6">SUM(C132,C141,C145,C146:C150,C155,C156:C167,C168)</f>
        <v>116832</v>
      </c>
      <c r="D169" s="1722">
        <f t="shared" si="6"/>
        <v>0</v>
      </c>
      <c r="E169" s="1722">
        <f t="shared" si="6"/>
        <v>0</v>
      </c>
      <c r="F169" s="1722">
        <f t="shared" si="6"/>
        <v>105902</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540978</v>
      </c>
      <c r="D170" s="1715">
        <f t="shared" si="7"/>
        <v>0</v>
      </c>
      <c r="E170" s="1715">
        <f t="shared" si="7"/>
        <v>0</v>
      </c>
      <c r="F170" s="1715">
        <f t="shared" si="7"/>
        <v>105902</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50" t="s">
        <v>1492</v>
      </c>
      <c r="B172" s="2151"/>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4" t="s">
        <v>1665</v>
      </c>
      <c r="B175" s="2155"/>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8" t="s">
        <v>1664</v>
      </c>
      <c r="B176" s="2159"/>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6" t="s">
        <v>785</v>
      </c>
      <c r="B181" s="2157"/>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2" t="s">
        <v>1803</v>
      </c>
      <c r="B182" s="2153"/>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v>17643</v>
      </c>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17643</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46546</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12399</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58945</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66580</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66580</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v>10883</v>
      </c>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10883</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0</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11349</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1935</v>
      </c>
      <c r="B261" s="470">
        <v>4981</v>
      </c>
      <c r="C261" s="575"/>
      <c r="D261" s="576"/>
      <c r="E261" s="468"/>
      <c r="F261" s="576"/>
      <c r="G261" s="576"/>
      <c r="H261" s="468"/>
      <c r="I261" s="468"/>
      <c r="J261" s="468"/>
      <c r="K261" s="468"/>
    </row>
    <row r="262" spans="1:11" ht="12.75" customHeight="1" thickTop="1" thickBot="1" x14ac:dyDescent="0.25">
      <c r="A262" s="1931" t="s">
        <v>1936</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4109</v>
      </c>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169509</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169509</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2867315</v>
      </c>
      <c r="D268" s="1715">
        <f t="shared" si="12"/>
        <v>328554</v>
      </c>
      <c r="E268" s="1715">
        <f t="shared" si="12"/>
        <v>366174</v>
      </c>
      <c r="F268" s="1715">
        <f t="shared" si="12"/>
        <v>227536</v>
      </c>
      <c r="G268" s="1715">
        <f t="shared" si="12"/>
        <v>48833</v>
      </c>
      <c r="H268" s="1715">
        <f t="shared" si="12"/>
        <v>100412</v>
      </c>
      <c r="I268" s="1715">
        <f t="shared" si="12"/>
        <v>30408</v>
      </c>
      <c r="J268" s="1715">
        <f t="shared" si="12"/>
        <v>232029</v>
      </c>
      <c r="K268" s="1702">
        <f t="shared" si="12"/>
        <v>30408</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pane="bottomLeft" sqref="A1:A2"/>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8"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62"/>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8" t="s">
        <v>297</v>
      </c>
      <c r="B3" s="2169"/>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902462</v>
      </c>
      <c r="D5" s="466">
        <v>236715</v>
      </c>
      <c r="E5" s="466">
        <v>38572</v>
      </c>
      <c r="F5" s="466">
        <v>58786</v>
      </c>
      <c r="G5" s="466">
        <v>2975</v>
      </c>
      <c r="H5" s="466">
        <v>19031</v>
      </c>
      <c r="I5" s="467"/>
      <c r="J5" s="467"/>
      <c r="K5" s="1671">
        <f>SUM(C5:J5)</f>
        <v>1258541</v>
      </c>
      <c r="L5" s="466">
        <v>1563483</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v>50680</v>
      </c>
      <c r="D7" s="467">
        <v>15635</v>
      </c>
      <c r="E7" s="467">
        <v>2324</v>
      </c>
      <c r="F7" s="467">
        <v>6385</v>
      </c>
      <c r="G7" s="467">
        <v>1481</v>
      </c>
      <c r="H7" s="467"/>
      <c r="I7" s="467"/>
      <c r="J7" s="467"/>
      <c r="K7" s="1671">
        <f t="shared" ref="K7:K32" si="0">SUM(C7:J7)</f>
        <v>76505</v>
      </c>
      <c r="L7" s="466">
        <v>80655</v>
      </c>
    </row>
    <row r="8" spans="1:14" x14ac:dyDescent="0.2">
      <c r="A8" s="1504" t="s">
        <v>164</v>
      </c>
      <c r="B8" s="614">
        <v>1200</v>
      </c>
      <c r="C8" s="466">
        <v>55595</v>
      </c>
      <c r="D8" s="466">
        <v>19218</v>
      </c>
      <c r="E8" s="466">
        <v>4521</v>
      </c>
      <c r="F8" s="466">
        <v>398</v>
      </c>
      <c r="G8" s="466"/>
      <c r="H8" s="466"/>
      <c r="I8" s="467"/>
      <c r="J8" s="467"/>
      <c r="K8" s="1671">
        <f t="shared" si="0"/>
        <v>79732</v>
      </c>
      <c r="L8" s="466">
        <v>29035</v>
      </c>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v>42506</v>
      </c>
      <c r="D10" s="466">
        <v>6878</v>
      </c>
      <c r="E10" s="466">
        <v>5935</v>
      </c>
      <c r="F10" s="466">
        <v>30434</v>
      </c>
      <c r="G10" s="466"/>
      <c r="H10" s="466"/>
      <c r="I10" s="467"/>
      <c r="J10" s="467"/>
      <c r="K10" s="1671">
        <f t="shared" si="0"/>
        <v>85753</v>
      </c>
      <c r="L10" s="466">
        <v>48286</v>
      </c>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v>98161</v>
      </c>
      <c r="D13" s="466">
        <v>26488</v>
      </c>
      <c r="E13" s="466">
        <v>2256</v>
      </c>
      <c r="F13" s="466">
        <v>13276</v>
      </c>
      <c r="G13" s="466"/>
      <c r="H13" s="466"/>
      <c r="I13" s="467"/>
      <c r="J13" s="467"/>
      <c r="K13" s="1671">
        <f t="shared" si="0"/>
        <v>140181</v>
      </c>
      <c r="L13" s="466">
        <v>113700</v>
      </c>
    </row>
    <row r="14" spans="1:14" x14ac:dyDescent="0.2">
      <c r="A14" s="1504" t="s">
        <v>963</v>
      </c>
      <c r="B14" s="614">
        <v>1500</v>
      </c>
      <c r="C14" s="466">
        <v>116638</v>
      </c>
      <c r="D14" s="466">
        <v>27212</v>
      </c>
      <c r="E14" s="466">
        <v>17523</v>
      </c>
      <c r="F14" s="466">
        <v>20864</v>
      </c>
      <c r="G14" s="466"/>
      <c r="H14" s="466"/>
      <c r="I14" s="467"/>
      <c r="J14" s="467"/>
      <c r="K14" s="1671">
        <f t="shared" si="0"/>
        <v>182237</v>
      </c>
      <c r="L14" s="466">
        <v>182955</v>
      </c>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1266042</v>
      </c>
      <c r="D33" s="1670">
        <f t="shared" ref="D33:L33" si="1">SUM(D5:D32)</f>
        <v>332146</v>
      </c>
      <c r="E33" s="1670">
        <f t="shared" si="1"/>
        <v>71131</v>
      </c>
      <c r="F33" s="1670">
        <f t="shared" si="1"/>
        <v>130143</v>
      </c>
      <c r="G33" s="1670">
        <f t="shared" si="1"/>
        <v>4456</v>
      </c>
      <c r="H33" s="1670">
        <f t="shared" si="1"/>
        <v>19031</v>
      </c>
      <c r="I33" s="1670">
        <f t="shared" si="1"/>
        <v>0</v>
      </c>
      <c r="J33" s="1670">
        <f t="shared" si="1"/>
        <v>0</v>
      </c>
      <c r="K33" s="1670">
        <f t="shared" si="1"/>
        <v>1822949</v>
      </c>
      <c r="L33" s="1670">
        <f t="shared" si="1"/>
        <v>2018114</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v>36132</v>
      </c>
      <c r="D36" s="481">
        <v>8167</v>
      </c>
      <c r="E36" s="481"/>
      <c r="F36" s="481"/>
      <c r="G36" s="481"/>
      <c r="H36" s="481"/>
      <c r="I36" s="467"/>
      <c r="J36" s="467"/>
      <c r="K36" s="1671">
        <f t="shared" ref="K36:K41" si="2">SUM(C36:J36)</f>
        <v>44299</v>
      </c>
      <c r="L36" s="466">
        <v>53565</v>
      </c>
    </row>
    <row r="37" spans="1:14" x14ac:dyDescent="0.2">
      <c r="A37" s="1504" t="s">
        <v>1090</v>
      </c>
      <c r="B37" s="614">
        <v>2120</v>
      </c>
      <c r="C37" s="466">
        <v>51634</v>
      </c>
      <c r="D37" s="466"/>
      <c r="E37" s="466">
        <v>333</v>
      </c>
      <c r="F37" s="466">
        <v>50</v>
      </c>
      <c r="G37" s="466"/>
      <c r="H37" s="466"/>
      <c r="I37" s="467"/>
      <c r="J37" s="467"/>
      <c r="K37" s="1671">
        <f t="shared" si="2"/>
        <v>52017</v>
      </c>
      <c r="L37" s="466">
        <v>53000</v>
      </c>
    </row>
    <row r="38" spans="1:14" x14ac:dyDescent="0.2">
      <c r="A38" s="1504" t="s">
        <v>198</v>
      </c>
      <c r="B38" s="614">
        <v>2130</v>
      </c>
      <c r="C38" s="466">
        <v>6780</v>
      </c>
      <c r="D38" s="466"/>
      <c r="E38" s="466">
        <v>215</v>
      </c>
      <c r="F38" s="466">
        <v>425</v>
      </c>
      <c r="G38" s="466"/>
      <c r="H38" s="466"/>
      <c r="I38" s="467"/>
      <c r="J38" s="467"/>
      <c r="K38" s="1671">
        <f t="shared" si="2"/>
        <v>7420</v>
      </c>
      <c r="L38" s="466">
        <v>8030</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c r="D40" s="466">
        <v>2260</v>
      </c>
      <c r="E40" s="466"/>
      <c r="F40" s="466"/>
      <c r="G40" s="466"/>
      <c r="H40" s="466"/>
      <c r="I40" s="467"/>
      <c r="J40" s="467"/>
      <c r="K40" s="1671">
        <f t="shared" si="2"/>
        <v>2260</v>
      </c>
      <c r="L40" s="466">
        <v>43850</v>
      </c>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94546</v>
      </c>
      <c r="D42" s="1670">
        <f t="shared" ref="D42:L42" si="3">SUM(D36:D41)</f>
        <v>10427</v>
      </c>
      <c r="E42" s="1670">
        <f t="shared" si="3"/>
        <v>548</v>
      </c>
      <c r="F42" s="1670">
        <f t="shared" si="3"/>
        <v>475</v>
      </c>
      <c r="G42" s="1670">
        <f t="shared" si="3"/>
        <v>0</v>
      </c>
      <c r="H42" s="1670">
        <f t="shared" si="3"/>
        <v>0</v>
      </c>
      <c r="I42" s="1670">
        <f t="shared" si="3"/>
        <v>0</v>
      </c>
      <c r="J42" s="1670">
        <f t="shared" si="3"/>
        <v>0</v>
      </c>
      <c r="K42" s="1670">
        <f t="shared" si="3"/>
        <v>105996</v>
      </c>
      <c r="L42" s="1670">
        <f t="shared" si="3"/>
        <v>158445</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c r="D44" s="481"/>
      <c r="E44" s="481"/>
      <c r="F44" s="481"/>
      <c r="G44" s="481"/>
      <c r="H44" s="481"/>
      <c r="I44" s="467"/>
      <c r="J44" s="467"/>
      <c r="K44" s="1672">
        <f>SUM(C44:J44)</f>
        <v>0</v>
      </c>
      <c r="L44" s="481"/>
    </row>
    <row r="45" spans="1:14" x14ac:dyDescent="0.2">
      <c r="A45" s="1504" t="s">
        <v>815</v>
      </c>
      <c r="B45" s="614">
        <v>2220</v>
      </c>
      <c r="C45" s="466">
        <v>50047</v>
      </c>
      <c r="D45" s="466">
        <v>13543</v>
      </c>
      <c r="E45" s="466">
        <v>1754</v>
      </c>
      <c r="F45" s="466">
        <v>2841</v>
      </c>
      <c r="G45" s="466"/>
      <c r="H45" s="466"/>
      <c r="I45" s="467"/>
      <c r="J45" s="467"/>
      <c r="K45" s="1672">
        <f>SUM(C45:J45)</f>
        <v>68185</v>
      </c>
      <c r="L45" s="466">
        <v>69420</v>
      </c>
    </row>
    <row r="46" spans="1:14" x14ac:dyDescent="0.2">
      <c r="A46" s="1504" t="s">
        <v>816</v>
      </c>
      <c r="B46" s="614">
        <v>2230</v>
      </c>
      <c r="C46" s="466"/>
      <c r="D46" s="466"/>
      <c r="E46" s="466"/>
      <c r="F46" s="466"/>
      <c r="G46" s="466"/>
      <c r="H46" s="466"/>
      <c r="I46" s="467"/>
      <c r="J46" s="467"/>
      <c r="K46" s="1672">
        <f>SUM(C46:J46)</f>
        <v>0</v>
      </c>
      <c r="L46" s="466"/>
    </row>
    <row r="47" spans="1:14" ht="12.75" customHeight="1" thickBot="1" x14ac:dyDescent="0.25">
      <c r="A47" s="1668" t="s">
        <v>561</v>
      </c>
      <c r="B47" s="1669" t="s">
        <v>32</v>
      </c>
      <c r="C47" s="1670">
        <f>SUM(C44:C46)</f>
        <v>50047</v>
      </c>
      <c r="D47" s="1670">
        <f t="shared" ref="D47:K47" si="4">SUM(D44:D46)</f>
        <v>13543</v>
      </c>
      <c r="E47" s="1670">
        <f t="shared" si="4"/>
        <v>1754</v>
      </c>
      <c r="F47" s="1670">
        <f t="shared" si="4"/>
        <v>2841</v>
      </c>
      <c r="G47" s="1670">
        <f t="shared" si="4"/>
        <v>0</v>
      </c>
      <c r="H47" s="1670">
        <f t="shared" si="4"/>
        <v>0</v>
      </c>
      <c r="I47" s="1670">
        <f t="shared" si="4"/>
        <v>0</v>
      </c>
      <c r="J47" s="1670">
        <f t="shared" si="4"/>
        <v>0</v>
      </c>
      <c r="K47" s="1670">
        <f t="shared" si="4"/>
        <v>68185</v>
      </c>
      <c r="L47" s="1670">
        <f>SUM(L44:L46)</f>
        <v>69420</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c r="D49" s="481"/>
      <c r="E49" s="481">
        <v>15328</v>
      </c>
      <c r="F49" s="481">
        <v>2931</v>
      </c>
      <c r="G49" s="481"/>
      <c r="H49" s="481"/>
      <c r="I49" s="467"/>
      <c r="J49" s="467"/>
      <c r="K49" s="1672">
        <f>SUM(C49:J49)</f>
        <v>18259</v>
      </c>
      <c r="L49" s="481">
        <v>19500</v>
      </c>
    </row>
    <row r="50" spans="1:14" x14ac:dyDescent="0.2">
      <c r="A50" s="1504" t="s">
        <v>818</v>
      </c>
      <c r="B50" s="614">
        <v>2320</v>
      </c>
      <c r="C50" s="466">
        <v>111316</v>
      </c>
      <c r="D50" s="466">
        <v>22805</v>
      </c>
      <c r="E50" s="466">
        <v>5424</v>
      </c>
      <c r="F50" s="466">
        <v>3061</v>
      </c>
      <c r="G50" s="466"/>
      <c r="H50" s="466"/>
      <c r="I50" s="467"/>
      <c r="J50" s="467"/>
      <c r="K50" s="1672">
        <f>SUM(C50:J50)</f>
        <v>142606</v>
      </c>
      <c r="L50" s="466">
        <v>141000</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111316</v>
      </c>
      <c r="D53" s="1670">
        <f t="shared" ref="D53:L53" si="5">SUM(D49:D52)</f>
        <v>22805</v>
      </c>
      <c r="E53" s="1670">
        <f t="shared" si="5"/>
        <v>20752</v>
      </c>
      <c r="F53" s="1670">
        <f t="shared" si="5"/>
        <v>5992</v>
      </c>
      <c r="G53" s="1670">
        <f t="shared" si="5"/>
        <v>0</v>
      </c>
      <c r="H53" s="1670">
        <f t="shared" si="5"/>
        <v>0</v>
      </c>
      <c r="I53" s="1670">
        <f t="shared" si="5"/>
        <v>0</v>
      </c>
      <c r="J53" s="1670">
        <f t="shared" si="5"/>
        <v>0</v>
      </c>
      <c r="K53" s="1670">
        <f t="shared" si="5"/>
        <v>160865</v>
      </c>
      <c r="L53" s="1670">
        <f t="shared" si="5"/>
        <v>160500</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238697</v>
      </c>
      <c r="D55" s="481">
        <v>38263</v>
      </c>
      <c r="E55" s="481">
        <v>4304</v>
      </c>
      <c r="F55" s="481">
        <v>116</v>
      </c>
      <c r="G55" s="481"/>
      <c r="H55" s="481"/>
      <c r="I55" s="467"/>
      <c r="J55" s="467"/>
      <c r="K55" s="1672">
        <f>SUM(C55:J55)</f>
        <v>281380</v>
      </c>
      <c r="L55" s="481">
        <v>212500</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238697</v>
      </c>
      <c r="D57" s="1674">
        <f t="shared" ref="D57:K57" si="6">SUM(D55:D56)</f>
        <v>38263</v>
      </c>
      <c r="E57" s="1674">
        <f t="shared" si="6"/>
        <v>4304</v>
      </c>
      <c r="F57" s="1674">
        <f t="shared" si="6"/>
        <v>116</v>
      </c>
      <c r="G57" s="1674">
        <f t="shared" si="6"/>
        <v>0</v>
      </c>
      <c r="H57" s="1674">
        <f t="shared" si="6"/>
        <v>0</v>
      </c>
      <c r="I57" s="1674">
        <f t="shared" si="6"/>
        <v>0</v>
      </c>
      <c r="J57" s="1674">
        <f t="shared" si="6"/>
        <v>0</v>
      </c>
      <c r="K57" s="1674">
        <f t="shared" si="6"/>
        <v>281380</v>
      </c>
      <c r="L57" s="1670">
        <f>SUM(L55:L56)</f>
        <v>212500</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51138</v>
      </c>
      <c r="D60" s="466">
        <v>6780</v>
      </c>
      <c r="E60" s="466">
        <v>28039</v>
      </c>
      <c r="F60" s="466">
        <v>1174</v>
      </c>
      <c r="G60" s="466"/>
      <c r="H60" s="466"/>
      <c r="I60" s="467"/>
      <c r="J60" s="467"/>
      <c r="K60" s="1672">
        <f t="shared" si="7"/>
        <v>87131</v>
      </c>
      <c r="L60" s="466">
        <v>83000</v>
      </c>
      <c r="M60" s="609"/>
      <c r="N60" s="609"/>
    </row>
    <row r="61" spans="1:14" s="343" customFormat="1" x14ac:dyDescent="0.2">
      <c r="A61" s="1504" t="s">
        <v>197</v>
      </c>
      <c r="B61" s="614">
        <v>2540</v>
      </c>
      <c r="C61" s="466"/>
      <c r="D61" s="466"/>
      <c r="E61" s="466"/>
      <c r="F61" s="466"/>
      <c r="G61" s="466"/>
      <c r="H61" s="466"/>
      <c r="I61" s="467"/>
      <c r="J61" s="467"/>
      <c r="K61" s="1672">
        <f t="shared" si="7"/>
        <v>0</v>
      </c>
      <c r="L61" s="466"/>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c r="D63" s="466"/>
      <c r="E63" s="466">
        <v>84866</v>
      </c>
      <c r="F63" s="466">
        <v>83</v>
      </c>
      <c r="G63" s="466"/>
      <c r="H63" s="466"/>
      <c r="I63" s="467"/>
      <c r="J63" s="467"/>
      <c r="K63" s="1672">
        <f t="shared" si="7"/>
        <v>84949</v>
      </c>
      <c r="L63" s="466">
        <v>105000</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51138</v>
      </c>
      <c r="D65" s="1670">
        <f t="shared" ref="D65:L65" si="8">SUM(D59:D64)</f>
        <v>6780</v>
      </c>
      <c r="E65" s="1670">
        <f t="shared" si="8"/>
        <v>112905</v>
      </c>
      <c r="F65" s="1670">
        <f t="shared" si="8"/>
        <v>1257</v>
      </c>
      <c r="G65" s="1670">
        <f t="shared" si="8"/>
        <v>0</v>
      </c>
      <c r="H65" s="1670">
        <f t="shared" si="8"/>
        <v>0</v>
      </c>
      <c r="I65" s="1670">
        <f t="shared" si="8"/>
        <v>0</v>
      </c>
      <c r="J65" s="1670">
        <f t="shared" si="8"/>
        <v>0</v>
      </c>
      <c r="K65" s="1670">
        <f t="shared" si="8"/>
        <v>172080</v>
      </c>
      <c r="L65" s="1670">
        <f t="shared" si="8"/>
        <v>188000</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545744</v>
      </c>
      <c r="D74" s="1677">
        <f t="shared" ref="D74:K74" si="10">SUM(D42,D47,D53,D57,D65,D72,D73)</f>
        <v>91818</v>
      </c>
      <c r="E74" s="1677">
        <f t="shared" si="10"/>
        <v>140263</v>
      </c>
      <c r="F74" s="1677">
        <f t="shared" si="10"/>
        <v>10681</v>
      </c>
      <c r="G74" s="1677">
        <f t="shared" si="10"/>
        <v>0</v>
      </c>
      <c r="H74" s="1677">
        <f t="shared" si="10"/>
        <v>0</v>
      </c>
      <c r="I74" s="1677">
        <f t="shared" si="10"/>
        <v>0</v>
      </c>
      <c r="J74" s="1677">
        <f t="shared" si="10"/>
        <v>0</v>
      </c>
      <c r="K74" s="1677">
        <f t="shared" si="10"/>
        <v>788506</v>
      </c>
      <c r="L74" s="1677">
        <f>SUM(L42,L47,L53,L57,L65,L72,L73)</f>
        <v>788865</v>
      </c>
    </row>
    <row r="75" spans="1:14" s="259" customFormat="1" ht="15.75" customHeight="1" thickTop="1" thickBot="1" x14ac:dyDescent="0.25">
      <c r="A75" s="1610" t="s">
        <v>47</v>
      </c>
      <c r="B75" s="1611" t="s">
        <v>575</v>
      </c>
      <c r="C75" s="573"/>
      <c r="D75" s="573"/>
      <c r="E75" s="573"/>
      <c r="F75" s="573"/>
      <c r="G75" s="573"/>
      <c r="H75" s="573"/>
      <c r="I75" s="531"/>
      <c r="J75" s="531"/>
      <c r="K75" s="1670">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v>63017</v>
      </c>
      <c r="F79" s="616"/>
      <c r="G79" s="616"/>
      <c r="H79" s="466"/>
      <c r="I79" s="477"/>
      <c r="J79" s="477"/>
      <c r="K79" s="1671">
        <f t="shared" si="11"/>
        <v>63017</v>
      </c>
      <c r="L79" s="466">
        <v>45578</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63017</v>
      </c>
      <c r="F84" s="616"/>
      <c r="G84" s="616"/>
      <c r="H84" s="1670">
        <f>SUM(H78:H83)</f>
        <v>0</v>
      </c>
      <c r="I84" s="477"/>
      <c r="J84" s="477"/>
      <c r="K84" s="1670">
        <f>SUM(K78:K83)</f>
        <v>63017</v>
      </c>
      <c r="L84" s="1670">
        <f>SUM(L78:L83)</f>
        <v>45578</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v>31600</v>
      </c>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31600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63017</v>
      </c>
      <c r="F102" s="616"/>
      <c r="G102" s="616"/>
      <c r="H102" s="1677">
        <f>SUM(H84,H92,H100,H101)</f>
        <v>0</v>
      </c>
      <c r="I102" s="477"/>
      <c r="J102" s="477"/>
      <c r="K102" s="1677">
        <f>SUM(K84,K92,K100,K101)</f>
        <v>63017</v>
      </c>
      <c r="L102" s="1677">
        <f>SUM(L84,L92,L100,L101)</f>
        <v>77178</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v>14</v>
      </c>
      <c r="I109" s="468"/>
      <c r="J109" s="468"/>
      <c r="K109" s="1671">
        <f>H109</f>
        <v>14</v>
      </c>
      <c r="L109" s="466"/>
      <c r="M109" s="210"/>
      <c r="N109" s="210"/>
    </row>
    <row r="110" spans="1:14" s="597" customFormat="1" ht="12.75" customHeight="1" thickBot="1" x14ac:dyDescent="0.25">
      <c r="A110" s="1668" t="s">
        <v>1102</v>
      </c>
      <c r="B110" s="1675" t="s">
        <v>718</v>
      </c>
      <c r="C110" s="616"/>
      <c r="D110" s="616"/>
      <c r="E110" s="616"/>
      <c r="F110" s="616"/>
      <c r="G110" s="616"/>
      <c r="H110" s="1670">
        <f>SUM(H105:H109)</f>
        <v>14</v>
      </c>
      <c r="I110" s="468"/>
      <c r="J110" s="468"/>
      <c r="K110" s="1670">
        <f>SUM(K105:K109)</f>
        <v>14</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14</v>
      </c>
      <c r="I112" s="468"/>
      <c r="J112" s="468"/>
      <c r="K112" s="1670">
        <f>SUM(K110:K111)</f>
        <v>14</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1811786</v>
      </c>
      <c r="D114" s="1670">
        <f t="shared" ref="D114:K114" si="13">SUM(D33,D74,D75,D102,D112,D113)</f>
        <v>423964</v>
      </c>
      <c r="E114" s="1670">
        <f t="shared" si="13"/>
        <v>274411</v>
      </c>
      <c r="F114" s="1670">
        <f t="shared" si="13"/>
        <v>140824</v>
      </c>
      <c r="G114" s="1670">
        <f t="shared" si="13"/>
        <v>4456</v>
      </c>
      <c r="H114" s="1670">
        <f>SUM(H33,H74,H75,H102,H112,H113)</f>
        <v>19045</v>
      </c>
      <c r="I114" s="1670">
        <f t="shared" si="13"/>
        <v>0</v>
      </c>
      <c r="J114" s="1670">
        <f t="shared" si="13"/>
        <v>0</v>
      </c>
      <c r="K114" s="1670">
        <f t="shared" si="13"/>
        <v>2674486</v>
      </c>
      <c r="L114" s="1670">
        <f>SUM(L33,L74,L75,L102,L112,L113)</f>
        <v>2884157</v>
      </c>
    </row>
    <row r="115" spans="1:14" ht="13.5" thickTop="1" x14ac:dyDescent="0.2">
      <c r="A115" s="2160" t="s">
        <v>996</v>
      </c>
      <c r="B115" s="2161"/>
      <c r="C115" s="618"/>
      <c r="D115" s="618"/>
      <c r="E115" s="618"/>
      <c r="F115" s="618"/>
      <c r="G115" s="618"/>
      <c r="H115" s="618"/>
      <c r="I115" s="618"/>
      <c r="J115" s="618"/>
      <c r="K115" s="1684">
        <f>'Revenues 9-14'!C268-'Expenditures 15-22'!K114</f>
        <v>192829</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5" t="s">
        <v>296</v>
      </c>
      <c r="B117" s="2166"/>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2058</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122542</v>
      </c>
      <c r="D124" s="466">
        <v>12995</v>
      </c>
      <c r="E124" s="466">
        <v>99965</v>
      </c>
      <c r="F124" s="466">
        <v>43866</v>
      </c>
      <c r="G124" s="466"/>
      <c r="H124" s="466"/>
      <c r="I124" s="467"/>
      <c r="J124" s="467"/>
      <c r="K124" s="1670">
        <f>SUM(C124:J124)</f>
        <v>279368</v>
      </c>
      <c r="L124" s="466">
        <v>320000</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122542</v>
      </c>
      <c r="D127" s="1670">
        <f t="shared" ref="D127:L127" si="14">SUM(D122:D126)</f>
        <v>12995</v>
      </c>
      <c r="E127" s="1670">
        <f t="shared" si="14"/>
        <v>99965</v>
      </c>
      <c r="F127" s="1670">
        <f t="shared" si="14"/>
        <v>43866</v>
      </c>
      <c r="G127" s="1670">
        <f t="shared" si="14"/>
        <v>0</v>
      </c>
      <c r="H127" s="1670">
        <f t="shared" si="14"/>
        <v>0</v>
      </c>
      <c r="I127" s="1670">
        <f t="shared" si="14"/>
        <v>0</v>
      </c>
      <c r="J127" s="1670">
        <f t="shared" si="14"/>
        <v>0</v>
      </c>
      <c r="K127" s="1670">
        <f t="shared" si="14"/>
        <v>279368</v>
      </c>
      <c r="L127" s="1670">
        <f t="shared" si="14"/>
        <v>320000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122542</v>
      </c>
      <c r="D129" s="1677">
        <f t="shared" ref="D129:L129" si="15">SUM(D120,D127,D128)</f>
        <v>12995</v>
      </c>
      <c r="E129" s="1677">
        <f t="shared" si="15"/>
        <v>99965</v>
      </c>
      <c r="F129" s="1677">
        <f t="shared" si="15"/>
        <v>43866</v>
      </c>
      <c r="G129" s="1677">
        <f t="shared" si="15"/>
        <v>0</v>
      </c>
      <c r="H129" s="1677">
        <f t="shared" si="15"/>
        <v>0</v>
      </c>
      <c r="I129" s="1677">
        <f t="shared" si="15"/>
        <v>0</v>
      </c>
      <c r="J129" s="1677">
        <f t="shared" si="15"/>
        <v>0</v>
      </c>
      <c r="K129" s="1677">
        <f t="shared" si="15"/>
        <v>279368</v>
      </c>
      <c r="L129" s="1677">
        <f t="shared" si="15"/>
        <v>320000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1844</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7" t="s">
        <v>620</v>
      </c>
      <c r="B151" s="2157"/>
      <c r="C151" s="1670">
        <f>SUM(C129,C130,C139,C149,C150)</f>
        <v>122542</v>
      </c>
      <c r="D151" s="1670">
        <f t="shared" ref="D151:K151" si="16">SUM(D129,D130,D139,D149,D150)</f>
        <v>12995</v>
      </c>
      <c r="E151" s="1670">
        <f t="shared" si="16"/>
        <v>99965</v>
      </c>
      <c r="F151" s="1670">
        <f t="shared" si="16"/>
        <v>43866</v>
      </c>
      <c r="G151" s="1670">
        <f t="shared" si="16"/>
        <v>0</v>
      </c>
      <c r="H151" s="1670">
        <f t="shared" si="16"/>
        <v>0</v>
      </c>
      <c r="I151" s="1670">
        <f t="shared" si="16"/>
        <v>0</v>
      </c>
      <c r="J151" s="1670">
        <f t="shared" si="16"/>
        <v>0</v>
      </c>
      <c r="K151" s="1670">
        <f t="shared" si="16"/>
        <v>279368</v>
      </c>
      <c r="L151" s="1670">
        <f>SUM(L129,L130,L139,L149,L150)</f>
        <v>320000</v>
      </c>
    </row>
    <row r="152" spans="1:14" ht="12.75" customHeight="1" thickTop="1" x14ac:dyDescent="0.2">
      <c r="A152" s="2180" t="s">
        <v>1178</v>
      </c>
      <c r="B152" s="2181"/>
      <c r="C152" s="618"/>
      <c r="D152" s="618"/>
      <c r="E152" s="618"/>
      <c r="F152" s="618"/>
      <c r="G152" s="618"/>
      <c r="H152" s="618"/>
      <c r="I152" s="618"/>
      <c r="J152" s="616"/>
      <c r="K152" s="1684">
        <f>'Revenues 9-14'!D268-'Expenditures 15-22'!K151</f>
        <v>49186</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5" t="s">
        <v>621</v>
      </c>
      <c r="B154" s="2167"/>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1845</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1844</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1846</v>
      </c>
      <c r="C158" s="616"/>
      <c r="D158" s="616"/>
      <c r="E158" s="616"/>
      <c r="F158" s="616"/>
      <c r="G158" s="616"/>
      <c r="H158" s="467"/>
      <c r="I158" s="616"/>
      <c r="J158" s="616"/>
      <c r="K158" s="1671">
        <f>H158</f>
        <v>0</v>
      </c>
      <c r="L158" s="467"/>
      <c r="M158" s="619"/>
      <c r="N158" s="619"/>
    </row>
    <row r="159" spans="1:14" s="620" customFormat="1" ht="12" x14ac:dyDescent="0.2">
      <c r="A159" s="1826" t="s">
        <v>1847</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1848</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181854</v>
      </c>
      <c r="I169" s="616"/>
      <c r="J169" s="616"/>
      <c r="K169" s="1671">
        <f>SUM(C169:H169)</f>
        <v>181854</v>
      </c>
      <c r="L169" s="656"/>
    </row>
    <row r="170" spans="1:14" ht="33.75" customHeight="1" x14ac:dyDescent="0.2">
      <c r="A170" s="669" t="s">
        <v>1670</v>
      </c>
      <c r="B170" s="671" t="s">
        <v>31</v>
      </c>
      <c r="C170" s="616"/>
      <c r="D170" s="616"/>
      <c r="E170" s="616"/>
      <c r="F170" s="616"/>
      <c r="G170" s="616"/>
      <c r="H170" s="569">
        <v>245000</v>
      </c>
      <c r="I170" s="616"/>
      <c r="J170" s="616"/>
      <c r="K170" s="1671">
        <f>SUM(C170:J170)</f>
        <v>245000</v>
      </c>
      <c r="L170" s="569"/>
    </row>
    <row r="171" spans="1:14" ht="15.75" customHeight="1" x14ac:dyDescent="0.2">
      <c r="A171" s="621" t="s">
        <v>766</v>
      </c>
      <c r="B171" s="672" t="s">
        <v>84</v>
      </c>
      <c r="C171" s="616"/>
      <c r="D171" s="616"/>
      <c r="E171" s="466"/>
      <c r="F171" s="616"/>
      <c r="G171" s="616"/>
      <c r="H171" s="569"/>
      <c r="I171" s="477"/>
      <c r="J171" s="616"/>
      <c r="K171" s="1671">
        <f>SUM(C171:J171)</f>
        <v>0</v>
      </c>
      <c r="L171" s="569">
        <v>390000</v>
      </c>
    </row>
    <row r="172" spans="1:14" ht="12.75" customHeight="1" thickBot="1" x14ac:dyDescent="0.25">
      <c r="A172" s="1668" t="s">
        <v>638</v>
      </c>
      <c r="B172" s="1669" t="s">
        <v>492</v>
      </c>
      <c r="C172" s="616"/>
      <c r="D172" s="616"/>
      <c r="E172" s="1677">
        <f>SUM(E168,E169,E170,E171)</f>
        <v>0</v>
      </c>
      <c r="F172" s="616"/>
      <c r="G172" s="616"/>
      <c r="H172" s="1677">
        <f>SUM(H168,H169,H170,H171)</f>
        <v>426854</v>
      </c>
      <c r="I172" s="638"/>
      <c r="J172" s="616"/>
      <c r="K172" s="1677">
        <f>SUM(K168,K169,K170,K171)</f>
        <v>426854</v>
      </c>
      <c r="L172" s="1677">
        <f>SUM(L168,L169,L170,L171)</f>
        <v>390000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426854</v>
      </c>
      <c r="I174" s="638"/>
      <c r="J174" s="616"/>
      <c r="K174" s="1677">
        <f>SUM(K160,K172,K173)</f>
        <v>426854</v>
      </c>
      <c r="L174" s="1677">
        <f>SUM(L160,L172,L173)</f>
        <v>390000</v>
      </c>
    </row>
    <row r="175" spans="1:14" ht="13.5" thickTop="1" x14ac:dyDescent="0.2">
      <c r="A175" s="2160" t="s">
        <v>996</v>
      </c>
      <c r="B175" s="2161"/>
      <c r="C175" s="616"/>
      <c r="D175" s="616"/>
      <c r="E175" s="616"/>
      <c r="F175" s="616"/>
      <c r="G175" s="616"/>
      <c r="H175" s="618"/>
      <c r="I175" s="616"/>
      <c r="J175" s="616"/>
      <c r="K175" s="1684">
        <f>'Revenues 9-14'!E268-'Expenditures 15-22'!K174</f>
        <v>-60680</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2058</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c r="D182" s="466"/>
      <c r="E182" s="466">
        <v>296270</v>
      </c>
      <c r="F182" s="466"/>
      <c r="G182" s="466"/>
      <c r="H182" s="466"/>
      <c r="I182" s="467"/>
      <c r="J182" s="467"/>
      <c r="K182" s="1671">
        <f>SUM(C182:J182)</f>
        <v>296270</v>
      </c>
      <c r="L182" s="466">
        <v>285000</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0</v>
      </c>
      <c r="D184" s="1677">
        <f t="shared" ref="D184:J184" si="17">SUM(D180,D182,D183)</f>
        <v>0</v>
      </c>
      <c r="E184" s="1677">
        <f t="shared" si="17"/>
        <v>296270</v>
      </c>
      <c r="F184" s="1677">
        <f t="shared" si="17"/>
        <v>0</v>
      </c>
      <c r="G184" s="1677">
        <f t="shared" si="17"/>
        <v>0</v>
      </c>
      <c r="H184" s="1677">
        <f t="shared" si="17"/>
        <v>0</v>
      </c>
      <c r="I184" s="1677">
        <f t="shared" si="17"/>
        <v>0</v>
      </c>
      <c r="J184" s="1677">
        <f t="shared" si="17"/>
        <v>0</v>
      </c>
      <c r="K184" s="1677">
        <f>SUM(K180,K182,K183)</f>
        <v>296270</v>
      </c>
      <c r="L184" s="1677">
        <f>SUM(L180, L182:L183)</f>
        <v>285000</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0</v>
      </c>
      <c r="D210" s="1670">
        <f>SUM(D184,D185)</f>
        <v>0</v>
      </c>
      <c r="E210" s="1670">
        <f>SUM(E184,E185,E196)</f>
        <v>296270</v>
      </c>
      <c r="F210" s="1670">
        <f>SUM(F184,F185)</f>
        <v>0</v>
      </c>
      <c r="G210" s="1670">
        <f>SUM(G184,G185)</f>
        <v>0</v>
      </c>
      <c r="H210" s="1670">
        <f>SUM(H184,H185,H196,H208,H209)</f>
        <v>0</v>
      </c>
      <c r="I210" s="1670">
        <f>SUM(I184,I185)</f>
        <v>0</v>
      </c>
      <c r="J210" s="1670">
        <f>SUM(J184,J185)</f>
        <v>0</v>
      </c>
      <c r="K210" s="1671">
        <f>SUM(K184,K185,K196,K208,K209)</f>
        <v>296270</v>
      </c>
      <c r="L210" s="1670">
        <f>SUM(L184,L185,L196,L208,L209)</f>
        <v>285000</v>
      </c>
    </row>
    <row r="211" spans="1:14" ht="13.5" thickTop="1" x14ac:dyDescent="0.2">
      <c r="A211" s="2160" t="s">
        <v>996</v>
      </c>
      <c r="B211" s="2161"/>
      <c r="C211" s="618"/>
      <c r="D211" s="618"/>
      <c r="E211" s="618"/>
      <c r="F211" s="618"/>
      <c r="G211" s="618"/>
      <c r="H211" s="618"/>
      <c r="I211" s="616"/>
      <c r="J211" s="616"/>
      <c r="K211" s="1684">
        <f>'Revenues 9-14'!F268-'Expenditures 15-22'!K210</f>
        <v>-68734</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2" t="s">
        <v>965</v>
      </c>
      <c r="B213" s="2183"/>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17942</v>
      </c>
      <c r="E215" s="616"/>
      <c r="F215" s="616"/>
      <c r="G215" s="616"/>
      <c r="H215" s="616"/>
      <c r="I215" s="616"/>
      <c r="J215" s="616"/>
      <c r="K215" s="1671">
        <f>D215</f>
        <v>17942</v>
      </c>
      <c r="L215" s="466">
        <v>20000</v>
      </c>
    </row>
    <row r="216" spans="1:14" x14ac:dyDescent="0.2">
      <c r="A216" s="1504" t="s">
        <v>163</v>
      </c>
      <c r="B216" s="614" t="s">
        <v>967</v>
      </c>
      <c r="C216" s="616"/>
      <c r="D216" s="467">
        <v>2737</v>
      </c>
      <c r="E216" s="616"/>
      <c r="F216" s="616"/>
      <c r="G216" s="616"/>
      <c r="H216" s="616"/>
      <c r="I216" s="616"/>
      <c r="J216" s="616"/>
      <c r="K216" s="1671">
        <f t="shared" ref="K216:K228" si="19">D216</f>
        <v>2737</v>
      </c>
      <c r="L216" s="466">
        <v>3000</v>
      </c>
    </row>
    <row r="217" spans="1:14" x14ac:dyDescent="0.2">
      <c r="A217" s="1504" t="s">
        <v>164</v>
      </c>
      <c r="B217" s="614">
        <v>1200</v>
      </c>
      <c r="C217" s="616"/>
      <c r="D217" s="466"/>
      <c r="E217" s="616"/>
      <c r="F217" s="616"/>
      <c r="G217" s="616"/>
      <c r="H217" s="616"/>
      <c r="I217" s="616"/>
      <c r="J217" s="616"/>
      <c r="K217" s="1671">
        <f t="shared" si="19"/>
        <v>0</v>
      </c>
      <c r="L217" s="466"/>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v>3372</v>
      </c>
      <c r="E219" s="616"/>
      <c r="F219" s="616"/>
      <c r="G219" s="616"/>
      <c r="H219" s="616"/>
      <c r="I219" s="616"/>
      <c r="J219" s="616"/>
      <c r="K219" s="1671">
        <f t="shared" si="19"/>
        <v>3372</v>
      </c>
      <c r="L219" s="466">
        <v>5000</v>
      </c>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v>1435</v>
      </c>
      <c r="E222" s="616"/>
      <c r="F222" s="616"/>
      <c r="G222" s="616"/>
      <c r="H222" s="616"/>
      <c r="I222" s="616"/>
      <c r="J222" s="616"/>
      <c r="K222" s="1671">
        <f t="shared" si="19"/>
        <v>1435</v>
      </c>
      <c r="L222" s="466">
        <v>1400</v>
      </c>
    </row>
    <row r="223" spans="1:14" x14ac:dyDescent="0.2">
      <c r="A223" s="1504" t="s">
        <v>963</v>
      </c>
      <c r="B223" s="614">
        <v>1500</v>
      </c>
      <c r="C223" s="616"/>
      <c r="D223" s="466">
        <v>2133</v>
      </c>
      <c r="E223" s="616"/>
      <c r="F223" s="616"/>
      <c r="G223" s="616"/>
      <c r="H223" s="616"/>
      <c r="I223" s="616"/>
      <c r="J223" s="616"/>
      <c r="K223" s="1671">
        <f t="shared" si="19"/>
        <v>2133</v>
      </c>
      <c r="L223" s="466">
        <v>2450</v>
      </c>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27619</v>
      </c>
      <c r="E229" s="616"/>
      <c r="F229" s="616"/>
      <c r="G229" s="616"/>
      <c r="H229" s="616"/>
      <c r="I229" s="616"/>
      <c r="J229" s="616"/>
      <c r="K229" s="1670">
        <f>SUM(K215:K228)</f>
        <v>27619</v>
      </c>
      <c r="L229" s="1670">
        <f>SUM(L215:L228)</f>
        <v>31850</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row>
    <row r="233" spans="1:12" x14ac:dyDescent="0.2">
      <c r="A233" s="1504" t="s">
        <v>1090</v>
      </c>
      <c r="B233" s="614">
        <v>2120</v>
      </c>
      <c r="C233" s="616"/>
      <c r="D233" s="466">
        <v>739</v>
      </c>
      <c r="E233" s="616"/>
      <c r="F233" s="616"/>
      <c r="G233" s="616"/>
      <c r="H233" s="616"/>
      <c r="I233" s="616"/>
      <c r="J233" s="616"/>
      <c r="K233" s="1671">
        <f t="shared" si="20"/>
        <v>739</v>
      </c>
      <c r="L233" s="466">
        <v>750</v>
      </c>
    </row>
    <row r="234" spans="1:12" x14ac:dyDescent="0.2">
      <c r="A234" s="1504" t="s">
        <v>198</v>
      </c>
      <c r="B234" s="614">
        <v>2130</v>
      </c>
      <c r="C234" s="616"/>
      <c r="D234" s="466">
        <v>2832</v>
      </c>
      <c r="E234" s="616"/>
      <c r="F234" s="616"/>
      <c r="G234" s="616"/>
      <c r="H234" s="616"/>
      <c r="I234" s="616"/>
      <c r="J234" s="616"/>
      <c r="K234" s="1671">
        <f t="shared" si="20"/>
        <v>2832</v>
      </c>
      <c r="L234" s="466">
        <v>3200</v>
      </c>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c r="E236" s="616"/>
      <c r="F236" s="616"/>
      <c r="G236" s="616"/>
      <c r="H236" s="616"/>
      <c r="I236" s="616"/>
      <c r="J236" s="616"/>
      <c r="K236" s="1671">
        <f t="shared" si="20"/>
        <v>0</v>
      </c>
      <c r="L236" s="466"/>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3571</v>
      </c>
      <c r="E238" s="616"/>
      <c r="F238" s="616"/>
      <c r="G238" s="616"/>
      <c r="H238" s="616"/>
      <c r="I238" s="616"/>
      <c r="J238" s="616"/>
      <c r="K238" s="1670">
        <f>SUM(K232:K237)</f>
        <v>3571</v>
      </c>
      <c r="L238" s="1670">
        <f>SUM(L232:L237)</f>
        <v>3950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c r="E240" s="616"/>
      <c r="F240" s="616"/>
      <c r="G240" s="616"/>
      <c r="H240" s="616"/>
      <c r="I240" s="616"/>
      <c r="J240" s="616"/>
      <c r="K240" s="1672">
        <f>D240</f>
        <v>0</v>
      </c>
      <c r="L240" s="481"/>
    </row>
    <row r="241" spans="1:12" x14ac:dyDescent="0.2">
      <c r="A241" s="1504" t="s">
        <v>815</v>
      </c>
      <c r="B241" s="614">
        <v>2220</v>
      </c>
      <c r="C241" s="616"/>
      <c r="D241" s="466">
        <v>725</v>
      </c>
      <c r="E241" s="616"/>
      <c r="F241" s="616"/>
      <c r="G241" s="616"/>
      <c r="H241" s="616"/>
      <c r="I241" s="616"/>
      <c r="J241" s="616"/>
      <c r="K241" s="1672">
        <f>D241</f>
        <v>725</v>
      </c>
      <c r="L241" s="466">
        <v>750</v>
      </c>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725</v>
      </c>
      <c r="E243" s="616"/>
      <c r="F243" s="616"/>
      <c r="G243" s="616"/>
      <c r="H243" s="616"/>
      <c r="I243" s="616"/>
      <c r="J243" s="616"/>
      <c r="K243" s="1670">
        <f>SUM(K240:K242)</f>
        <v>725</v>
      </c>
      <c r="L243" s="1670">
        <f>SUM(L240:L242)</f>
        <v>750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c r="E245" s="616"/>
      <c r="F245" s="616"/>
      <c r="G245" s="616"/>
      <c r="H245" s="616"/>
      <c r="I245" s="616"/>
      <c r="J245" s="616"/>
      <c r="K245" s="1672">
        <f>D245</f>
        <v>0</v>
      </c>
      <c r="L245" s="481"/>
    </row>
    <row r="246" spans="1:12" x14ac:dyDescent="0.2">
      <c r="A246" s="1504" t="s">
        <v>818</v>
      </c>
      <c r="B246" s="614">
        <v>2320</v>
      </c>
      <c r="C246" s="616"/>
      <c r="D246" s="466">
        <v>1754</v>
      </c>
      <c r="E246" s="616"/>
      <c r="F246" s="616"/>
      <c r="G246" s="616"/>
      <c r="H246" s="616"/>
      <c r="I246" s="616"/>
      <c r="J246" s="616"/>
      <c r="K246" s="1672">
        <f t="shared" ref="K246:K256" si="21">D246</f>
        <v>1754</v>
      </c>
      <c r="L246" s="466">
        <v>1725</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1754</v>
      </c>
      <c r="E257" s="616"/>
      <c r="F257" s="616"/>
      <c r="G257" s="616"/>
      <c r="H257" s="616"/>
      <c r="I257" s="616"/>
      <c r="J257" s="616"/>
      <c r="K257" s="1670">
        <f>SUM(K245:K256)</f>
        <v>1754</v>
      </c>
      <c r="L257" s="1670">
        <f>SUM(L245:L256)</f>
        <v>1725</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11618</v>
      </c>
      <c r="E259" s="616"/>
      <c r="F259" s="616"/>
      <c r="G259" s="616"/>
      <c r="H259" s="616"/>
      <c r="I259" s="616"/>
      <c r="J259" s="616"/>
      <c r="K259" s="1672">
        <f>D259</f>
        <v>11618</v>
      </c>
      <c r="L259" s="481">
        <v>13050</v>
      </c>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11618</v>
      </c>
      <c r="E261" s="616"/>
      <c r="F261" s="616"/>
      <c r="G261" s="616"/>
      <c r="H261" s="616"/>
      <c r="I261" s="616"/>
      <c r="J261" s="616"/>
      <c r="K261" s="1670">
        <f>SUM(K259:K260)</f>
        <v>11618</v>
      </c>
      <c r="L261" s="1670">
        <f>SUM(L259:L260)</f>
        <v>13050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6115</v>
      </c>
      <c r="E264" s="616"/>
      <c r="F264" s="616"/>
      <c r="G264" s="616"/>
      <c r="H264" s="616"/>
      <c r="I264" s="616"/>
      <c r="J264" s="616"/>
      <c r="K264" s="1672">
        <f t="shared" ref="K264:K269" si="22">D264</f>
        <v>6115</v>
      </c>
      <c r="L264" s="466">
        <v>6750</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16086</v>
      </c>
      <c r="E266" s="616"/>
      <c r="F266" s="616"/>
      <c r="G266" s="616"/>
      <c r="H266" s="616"/>
      <c r="I266" s="616"/>
      <c r="J266" s="616"/>
      <c r="K266" s="1672">
        <f t="shared" si="22"/>
        <v>16086</v>
      </c>
      <c r="L266" s="466">
        <v>23000</v>
      </c>
    </row>
    <row r="267" spans="1:14" x14ac:dyDescent="0.2">
      <c r="A267" s="1504" t="s">
        <v>953</v>
      </c>
      <c r="B267" s="614">
        <v>2550</v>
      </c>
      <c r="C267" s="616"/>
      <c r="D267" s="466"/>
      <c r="E267" s="616"/>
      <c r="F267" s="616"/>
      <c r="G267" s="616"/>
      <c r="H267" s="616"/>
      <c r="I267" s="616"/>
      <c r="J267" s="616"/>
      <c r="K267" s="1672">
        <f t="shared" si="22"/>
        <v>0</v>
      </c>
      <c r="L267" s="466"/>
    </row>
    <row r="268" spans="1:14" x14ac:dyDescent="0.2">
      <c r="A268" s="1504" t="s">
        <v>100</v>
      </c>
      <c r="B268" s="614">
        <v>2560</v>
      </c>
      <c r="C268" s="616"/>
      <c r="D268" s="466"/>
      <c r="E268" s="616"/>
      <c r="F268" s="616"/>
      <c r="G268" s="616"/>
      <c r="H268" s="616"/>
      <c r="I268" s="616"/>
      <c r="J268" s="616"/>
      <c r="K268" s="1672">
        <f t="shared" si="22"/>
        <v>0</v>
      </c>
      <c r="L268" s="466"/>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22201</v>
      </c>
      <c r="E270" s="616"/>
      <c r="F270" s="616"/>
      <c r="G270" s="616"/>
      <c r="H270" s="616"/>
      <c r="I270" s="616"/>
      <c r="J270" s="616"/>
      <c r="K270" s="1670">
        <f>SUM(K263:K269)</f>
        <v>22201</v>
      </c>
      <c r="L270" s="1670">
        <f>SUM(L263:L269)</f>
        <v>29750</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39869</v>
      </c>
      <c r="E279" s="616"/>
      <c r="F279" s="616"/>
      <c r="G279" s="616"/>
      <c r="H279" s="616"/>
      <c r="I279" s="616"/>
      <c r="J279" s="616"/>
      <c r="K279" s="1677">
        <f>SUM(K238,K243,K257,K261,K270,K277,K278)</f>
        <v>39869</v>
      </c>
      <c r="L279" s="1677">
        <f>SUM(L238,L243,L257,L261,L270,L277,L278)</f>
        <v>49225</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1844</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8" t="s">
        <v>505</v>
      </c>
      <c r="B295" s="2179"/>
      <c r="C295" s="616"/>
      <c r="D295" s="1670">
        <f>SUM(D229,D279,D280,D285)</f>
        <v>67488</v>
      </c>
      <c r="E295" s="616"/>
      <c r="F295" s="616"/>
      <c r="G295" s="616"/>
      <c r="H295" s="1670">
        <f>H293</f>
        <v>0</v>
      </c>
      <c r="I295" s="616"/>
      <c r="J295" s="616"/>
      <c r="K295" s="1670">
        <f>SUM(K229,K279,K280,K285,K293,K294)</f>
        <v>67488</v>
      </c>
      <c r="L295" s="1670">
        <f>SUM(L229,L279,L280,L285,L293,L294)</f>
        <v>81075</v>
      </c>
    </row>
    <row r="296" spans="1:14" ht="13.5" thickTop="1" x14ac:dyDescent="0.2">
      <c r="A296" s="2160" t="s">
        <v>996</v>
      </c>
      <c r="B296" s="2161"/>
      <c r="C296" s="616"/>
      <c r="D296" s="618"/>
      <c r="E296" s="616"/>
      <c r="F296" s="616"/>
      <c r="G296" s="616"/>
      <c r="H296" s="687"/>
      <c r="I296" s="616"/>
      <c r="J296" s="616"/>
      <c r="K296" s="1684">
        <f>'Revenues 9-14'!G268-'Expenditures 15-22'!K295</f>
        <v>-18655</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70" t="s">
        <v>143</v>
      </c>
      <c r="B298" s="2164"/>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v>148295</v>
      </c>
      <c r="H301" s="466"/>
      <c r="I301" s="467"/>
      <c r="J301" s="467"/>
      <c r="K301" s="1671">
        <f>SUM(C301:J301)</f>
        <v>148295</v>
      </c>
      <c r="L301" s="467">
        <v>45000</v>
      </c>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148295</v>
      </c>
      <c r="H303" s="1677">
        <f t="shared" si="23"/>
        <v>0</v>
      </c>
      <c r="I303" s="1677">
        <f t="shared" si="23"/>
        <v>0</v>
      </c>
      <c r="J303" s="1677">
        <f t="shared" si="23"/>
        <v>0</v>
      </c>
      <c r="K303" s="1677">
        <f t="shared" si="23"/>
        <v>148295</v>
      </c>
      <c r="L303" s="1677">
        <f t="shared" si="23"/>
        <v>45000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1849</v>
      </c>
      <c r="B306" s="690" t="s">
        <v>1844</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5" t="s">
        <v>277</v>
      </c>
      <c r="B312" s="2176"/>
      <c r="C312" s="1670">
        <f>SUM(C303)</f>
        <v>0</v>
      </c>
      <c r="D312" s="1670">
        <f>SUM(D303)</f>
        <v>0</v>
      </c>
      <c r="E312" s="1670">
        <f>SUM(E303,E310)</f>
        <v>0</v>
      </c>
      <c r="F312" s="1670">
        <f>SUM(F303)</f>
        <v>0</v>
      </c>
      <c r="G312" s="1670">
        <f>SUM(G303)</f>
        <v>148295</v>
      </c>
      <c r="H312" s="1670">
        <f>SUM(H303,H310)</f>
        <v>0</v>
      </c>
      <c r="I312" s="1670">
        <f>SUM(I303)</f>
        <v>0</v>
      </c>
      <c r="J312" s="1670">
        <f>SUM(J303)</f>
        <v>0</v>
      </c>
      <c r="K312" s="1670">
        <f>SUM(K303,K310,K311)</f>
        <v>148295</v>
      </c>
      <c r="L312" s="1670">
        <f>SUM(L303,L310,L311)</f>
        <v>45000</v>
      </c>
      <c r="M312" s="665"/>
      <c r="N312" s="665"/>
    </row>
    <row r="313" spans="1:14" ht="13.5" thickTop="1" x14ac:dyDescent="0.2">
      <c r="A313" s="2171" t="s">
        <v>996</v>
      </c>
      <c r="B313" s="2172"/>
      <c r="C313" s="626"/>
      <c r="D313" s="626"/>
      <c r="E313" s="626"/>
      <c r="F313" s="626"/>
      <c r="G313" s="626"/>
      <c r="H313" s="626"/>
      <c r="I313" s="626"/>
      <c r="J313" s="626"/>
      <c r="K313" s="1685">
        <f>'Revenues 9-14'!H268-'Expenditures 15-22'!K312</f>
        <v>-47883</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4" t="s">
        <v>149</v>
      </c>
      <c r="B315" s="2185"/>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6" t="s">
        <v>898</v>
      </c>
      <c r="B317" s="2185"/>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v>18636</v>
      </c>
      <c r="F320" s="467"/>
      <c r="G320" s="467"/>
      <c r="H320" s="467"/>
      <c r="I320" s="467"/>
      <c r="J320" s="467"/>
      <c r="K320" s="1671">
        <f t="shared" ref="K320:K327" si="24">SUM(C320:J320)</f>
        <v>18636</v>
      </c>
      <c r="L320" s="467">
        <v>25000</v>
      </c>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v>1500</v>
      </c>
      <c r="M321" s="665"/>
      <c r="N321" s="665"/>
    </row>
    <row r="322" spans="1:14" s="674" customFormat="1" x14ac:dyDescent="0.2">
      <c r="A322" s="1519" t="s">
        <v>238</v>
      </c>
      <c r="B322" s="697" t="s">
        <v>284</v>
      </c>
      <c r="C322" s="467"/>
      <c r="D322" s="467"/>
      <c r="E322" s="467"/>
      <c r="F322" s="467"/>
      <c r="G322" s="467"/>
      <c r="H322" s="467"/>
      <c r="I322" s="467"/>
      <c r="J322" s="467"/>
      <c r="K322" s="1671">
        <f t="shared" si="24"/>
        <v>0</v>
      </c>
      <c r="L322" s="467"/>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v>153515</v>
      </c>
      <c r="D325" s="467"/>
      <c r="E325" s="467">
        <v>4513</v>
      </c>
      <c r="F325" s="467"/>
      <c r="G325" s="467"/>
      <c r="H325" s="467"/>
      <c r="I325" s="467"/>
      <c r="J325" s="467"/>
      <c r="K325" s="1671">
        <f t="shared" si="24"/>
        <v>158028</v>
      </c>
      <c r="L325" s="467">
        <v>160000</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v>6010</v>
      </c>
      <c r="F327" s="467"/>
      <c r="G327" s="467"/>
      <c r="H327" s="467"/>
      <c r="I327" s="467"/>
      <c r="J327" s="467"/>
      <c r="K327" s="1671">
        <f t="shared" si="24"/>
        <v>6010</v>
      </c>
      <c r="L327" s="467">
        <v>8000</v>
      </c>
      <c r="M327" s="665"/>
      <c r="N327" s="665"/>
    </row>
    <row r="328" spans="1:14" s="674" customFormat="1" x14ac:dyDescent="0.2">
      <c r="A328" s="1520" t="s">
        <v>472</v>
      </c>
      <c r="B328" s="690" t="s">
        <v>1132</v>
      </c>
      <c r="C328" s="474"/>
      <c r="D328" s="474"/>
      <c r="E328" s="474">
        <v>45650</v>
      </c>
      <c r="F328" s="474"/>
      <c r="G328" s="474"/>
      <c r="H328" s="474"/>
      <c r="I328" s="474"/>
      <c r="J328" s="474"/>
      <c r="K328" s="1699">
        <f>SUM(C328:J328)</f>
        <v>45650</v>
      </c>
      <c r="L328" s="474">
        <v>46000</v>
      </c>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153515</v>
      </c>
      <c r="D330" s="1670">
        <f t="shared" ref="D330:J330" si="25">SUM(D319:D329)</f>
        <v>0</v>
      </c>
      <c r="E330" s="1670">
        <f t="shared" si="25"/>
        <v>74809</v>
      </c>
      <c r="F330" s="1670">
        <f t="shared" si="25"/>
        <v>0</v>
      </c>
      <c r="G330" s="1670">
        <f t="shared" si="25"/>
        <v>0</v>
      </c>
      <c r="H330" s="1670">
        <f t="shared" si="25"/>
        <v>0</v>
      </c>
      <c r="I330" s="1670">
        <f t="shared" si="25"/>
        <v>0</v>
      </c>
      <c r="J330" s="1670">
        <f t="shared" si="25"/>
        <v>0</v>
      </c>
      <c r="K330" s="1670">
        <f>SUM(K319:K329)</f>
        <v>228324</v>
      </c>
      <c r="L330" s="1670">
        <f>SUM(L319:L329)</f>
        <v>240500</v>
      </c>
      <c r="M330" s="665"/>
      <c r="N330" s="665"/>
    </row>
    <row r="331" spans="1:14" s="674" customFormat="1" ht="12.75" customHeight="1" thickTop="1" x14ac:dyDescent="0.2">
      <c r="A331" s="1831" t="s">
        <v>1850</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1844</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1846</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1851</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153515</v>
      </c>
      <c r="D342" s="1670">
        <f>SUM(D330)</f>
        <v>0</v>
      </c>
      <c r="E342" s="1670">
        <f>SUM(E330)</f>
        <v>74809</v>
      </c>
      <c r="F342" s="1670">
        <f>SUM(F330)</f>
        <v>0</v>
      </c>
      <c r="G342" s="1670">
        <f>SUM(G330)</f>
        <v>0</v>
      </c>
      <c r="H342" s="1670">
        <f>SUM(H330,H334,H340)</f>
        <v>0</v>
      </c>
      <c r="I342" s="1670">
        <f>SUM(I330)</f>
        <v>0</v>
      </c>
      <c r="J342" s="1670">
        <f>SUM(J330)</f>
        <v>0</v>
      </c>
      <c r="K342" s="1670">
        <f>SUM(K330,K334,K340)</f>
        <v>228324</v>
      </c>
      <c r="L342" s="1677">
        <f>SUM(L330,L334,L340,L341)</f>
        <v>240500</v>
      </c>
    </row>
    <row r="343" spans="1:14" ht="12.75" customHeight="1" thickTop="1" x14ac:dyDescent="0.2">
      <c r="A343" s="2173" t="s">
        <v>996</v>
      </c>
      <c r="B343" s="2174"/>
      <c r="C343" s="616"/>
      <c r="D343" s="616"/>
      <c r="E343" s="616"/>
      <c r="F343" s="616"/>
      <c r="G343" s="616"/>
      <c r="H343" s="616"/>
      <c r="I343" s="616"/>
      <c r="J343" s="616"/>
      <c r="K343" s="1684">
        <f>'Revenues 9-14'!J268-'Expenditures 15-22'!K342</f>
        <v>3705</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3" t="s">
        <v>966</v>
      </c>
      <c r="B345" s="2164"/>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v>896443</v>
      </c>
      <c r="H348" s="466"/>
      <c r="I348" s="467"/>
      <c r="J348" s="467"/>
      <c r="K348" s="1671">
        <f>SUM(C348:J348)</f>
        <v>896443</v>
      </c>
      <c r="L348" s="466">
        <v>23000</v>
      </c>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719</v>
      </c>
      <c r="B350" s="1669" t="s">
        <v>35</v>
      </c>
      <c r="C350" s="1670">
        <f>SUM(C348:C349)</f>
        <v>0</v>
      </c>
      <c r="D350" s="1670">
        <f t="shared" ref="D350:L350" si="26">SUM(D348:D349)</f>
        <v>0</v>
      </c>
      <c r="E350" s="1670">
        <f t="shared" si="26"/>
        <v>0</v>
      </c>
      <c r="F350" s="1670">
        <f t="shared" si="26"/>
        <v>0</v>
      </c>
      <c r="G350" s="1670">
        <f t="shared" si="26"/>
        <v>896443</v>
      </c>
      <c r="H350" s="1670">
        <f t="shared" si="26"/>
        <v>0</v>
      </c>
      <c r="I350" s="1670">
        <f t="shared" si="26"/>
        <v>0</v>
      </c>
      <c r="J350" s="1670">
        <f t="shared" si="26"/>
        <v>0</v>
      </c>
      <c r="K350" s="1670">
        <f t="shared" si="26"/>
        <v>896443</v>
      </c>
      <c r="L350" s="1670">
        <f t="shared" si="26"/>
        <v>23000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0</v>
      </c>
      <c r="G352" s="1670">
        <f t="shared" si="27"/>
        <v>896443</v>
      </c>
      <c r="H352" s="1670">
        <f t="shared" si="27"/>
        <v>0</v>
      </c>
      <c r="I352" s="1670">
        <f t="shared" si="27"/>
        <v>0</v>
      </c>
      <c r="J352" s="1670">
        <f t="shared" si="27"/>
        <v>0</v>
      </c>
      <c r="K352" s="1670">
        <f t="shared" si="27"/>
        <v>896443</v>
      </c>
      <c r="L352" s="1670">
        <f t="shared" si="27"/>
        <v>23000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1852</v>
      </c>
      <c r="B354" s="683" t="s">
        <v>1844</v>
      </c>
      <c r="C354" s="616"/>
      <c r="D354" s="616"/>
      <c r="E354" s="616"/>
      <c r="F354" s="616"/>
      <c r="G354" s="616"/>
      <c r="H354" s="474"/>
      <c r="I354" s="701"/>
      <c r="J354" s="616"/>
      <c r="K354" s="1699">
        <f>H354</f>
        <v>0</v>
      </c>
      <c r="L354" s="471"/>
    </row>
    <row r="355" spans="1:14" ht="12.75" customHeight="1" x14ac:dyDescent="0.2">
      <c r="A355" s="1513" t="s">
        <v>1853</v>
      </c>
      <c r="B355" s="690" t="s">
        <v>1846</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v>16000</v>
      </c>
      <c r="I363" s="638"/>
      <c r="J363" s="638"/>
      <c r="K363" s="1699">
        <f>SUM(C363:J363)</f>
        <v>16000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16000</v>
      </c>
      <c r="I365" s="638"/>
      <c r="J365" s="638"/>
      <c r="K365" s="1703">
        <f>SUM(K362,K363,K364)</f>
        <v>16000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0</v>
      </c>
      <c r="G367" s="1670">
        <f t="shared" si="28"/>
        <v>896443</v>
      </c>
      <c r="H367" s="1670">
        <f t="shared" si="28"/>
        <v>16000</v>
      </c>
      <c r="I367" s="1670">
        <f t="shared" si="28"/>
        <v>0</v>
      </c>
      <c r="J367" s="1670">
        <f t="shared" si="28"/>
        <v>0</v>
      </c>
      <c r="K367" s="1670">
        <f t="shared" si="28"/>
        <v>912443</v>
      </c>
      <c r="L367" s="1670">
        <f t="shared" si="28"/>
        <v>23000</v>
      </c>
    </row>
    <row r="368" spans="1:14" ht="13.5" thickTop="1" x14ac:dyDescent="0.2">
      <c r="A368" s="2160" t="s">
        <v>996</v>
      </c>
      <c r="B368" s="2161"/>
      <c r="C368" s="654"/>
      <c r="D368" s="654"/>
      <c r="E368" s="626"/>
      <c r="F368" s="626"/>
      <c r="G368" s="626"/>
      <c r="H368" s="626"/>
      <c r="I368" s="626"/>
      <c r="J368" s="623"/>
      <c r="K368" s="1671">
        <f>'Revenues 9-14'!K268-'Expenditures 15-22'!K367</f>
        <v>-882035</v>
      </c>
      <c r="L368" s="654"/>
    </row>
  </sheetData>
  <sheetProtection algorithmName="SHA-512" hashValue="jzzNE6gaZWET+y6T5aosJtCATdA6zyfwuTqC+CTODp4dbJrQt41UnBxqpssdLhxOdI8LmMLRZDYFsF1oB0M7Iw==" saltValue="LNHf/VcevKDKMmwcM5/SP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524270-6D2D-40B3-AEDC-EBC0C7BBFFF8}">
  <ds:schemaRefs>
    <ds:schemaRef ds:uri="6ce3111e-7420-4802-b50a-75d4e9a0b980"/>
    <ds:schemaRef ds:uri="http://schemas.microsoft.com/office/2006/documentManagement/types"/>
    <ds:schemaRef ds:uri="http://purl.org/dc/terms/"/>
    <ds:schemaRef ds:uri="http://www.w3.org/XML/1998/namespace"/>
    <ds:schemaRef ds:uri="4d435f69-8686-490b-bd6d-b153bf22ab50"/>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d21dc803-237d-4c68-8692-8d731fd29118"/>
    <ds:schemaRef ds:uri="http://schemas.microsoft.com/sharepoint/v3"/>
    <ds:schemaRef ds:uri="http://purl.org/dc/dcmitype/"/>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HOPKINS CONSTANCE</cp:lastModifiedBy>
  <cp:lastPrinted>2019-11-12T01:51:42Z</cp:lastPrinted>
  <dcterms:created xsi:type="dcterms:W3CDTF">2003-10-29T19:06:34Z</dcterms:created>
  <dcterms:modified xsi:type="dcterms:W3CDTF">2019-12-23T16:38:53Z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