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D1089A1-F485-44C1-B37E-657E8DB936E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58" i="127"/>
  <c r="B59" i="127"/>
  <c r="E26" i="108"/>
  <c r="G26" i="108"/>
  <c r="D27" i="108"/>
  <c r="E27" i="108"/>
  <c r="F27" i="108"/>
  <c r="G27" i="108"/>
  <c r="F28"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352" i="29" l="1"/>
  <c r="J367" i="29" s="1"/>
  <c r="B7245" i="106" s="1"/>
  <c r="D7245" i="106" s="1"/>
  <c r="B3647" i="106"/>
  <c r="D3647" i="106" s="1"/>
  <c r="J129" i="29"/>
  <c r="B7038" i="106" s="1"/>
  <c r="D7038" i="106" s="1"/>
  <c r="J77" i="4"/>
  <c r="B6262" i="106" s="1"/>
  <c r="D6262" i="106" s="1"/>
  <c r="B1126" i="106"/>
  <c r="D1126" i="106" s="1"/>
  <c r="I129" i="29"/>
  <c r="B7037" i="106" s="1"/>
  <c r="D7037" i="106" s="1"/>
  <c r="G210" i="29"/>
  <c r="F50" i="34"/>
  <c r="H365" i="29"/>
  <c r="B7242" i="106" s="1"/>
  <c r="D7242" i="106" s="1"/>
  <c r="C352" i="29"/>
  <c r="B3621" i="106" s="1"/>
  <c r="D3621" i="106" s="1"/>
  <c r="F19" i="7"/>
  <c r="B1807" i="106" s="1"/>
  <c r="D1807" i="106" s="1"/>
  <c r="B6995" i="106"/>
  <c r="D6995" i="106" s="1"/>
  <c r="G30" i="108"/>
  <c r="F34" i="34"/>
  <c r="L13" i="11"/>
  <c r="B2060" i="106" s="1"/>
  <c r="D2060" i="106" s="1"/>
  <c r="C342" i="29"/>
  <c r="B7216" i="106" s="1"/>
  <c r="D7216" i="106" s="1"/>
  <c r="K184" i="29"/>
  <c r="F13" i="4" s="1"/>
  <c r="B2596" i="106" s="1"/>
  <c r="D2596" i="106" s="1"/>
  <c r="E29" i="108"/>
  <c r="G29" i="108"/>
  <c r="C129" i="29"/>
  <c r="B1225" i="106" s="1"/>
  <c r="D122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I151" i="29"/>
  <c r="F59" i="34" s="1"/>
  <c r="D7256" i="106"/>
  <c r="D7251" i="106"/>
  <c r="D44" i="36"/>
  <c r="B1365" i="106"/>
  <c r="D1365" i="106" s="1"/>
  <c r="F65" i="34"/>
  <c r="B1328" i="106"/>
  <c r="D1328" i="106" s="1"/>
  <c r="F41" i="108"/>
  <c r="G43" i="108" s="1"/>
  <c r="C151" i="29"/>
  <c r="B1226" i="106" s="1"/>
  <c r="D1226" i="106" s="1"/>
  <c r="D41" i="108"/>
  <c r="E43" i="108" s="1"/>
  <c r="N23" i="3"/>
  <c r="B284" i="106" s="1"/>
  <c r="D284" i="106" s="1"/>
  <c r="C114" i="29"/>
  <c r="B757" i="106" s="1"/>
  <c r="D757" i="106" s="1"/>
  <c r="L16" i="11"/>
  <c r="B2061" i="106" s="1"/>
  <c r="D2061" i="106" s="1"/>
  <c r="K342" i="29"/>
  <c r="F13" i="34" s="1"/>
  <c r="B5527" i="106"/>
  <c r="D5527" i="106" s="1"/>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D8" i="146"/>
  <c r="B6227" i="106"/>
  <c r="D6227" i="106" s="1"/>
  <c r="J10" i="4"/>
  <c r="B6225" i="106" s="1"/>
  <c r="D6225" i="106" s="1"/>
  <c r="J20" i="4"/>
  <c r="J78"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<sst xmlns="http://schemas.openxmlformats.org/spreadsheetml/2006/main" count="5098" uniqueCount="2118">
  <si>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</si>
  <si>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</si>
  <si>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</si>
  <si>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</si>
  <si>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</si>
  <si>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</si>
  <si>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</si>
  <si>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</si>
  <si>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</si>
  <si>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</si>
  <si>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</si>
  <si>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</si>
  <si>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</si>
  <si>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</si>
  <si>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</si>
  <si>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</si>
  <si>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</si>
  <si>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</si>
  <si>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</si>
  <si>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</si>
  <si>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</si>
  <si>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</si>
  <si>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</si>
  <si>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</si>
  <si>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</si>
  <si>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</si>
  <si>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</si>
  <si>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</si>
  <si>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</si>
  <si>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</si>
  <si>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</si>
  <si>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</si>
  <si>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</si>
  <si>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</si>
  <si>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</si>
  <si>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</si>
  <si>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</si>
  <si>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</si>
  <si>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</si>
  <si>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</si>
  <si>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</si>
  <si>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</si>
  <si>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</si>
  <si>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</si>
  <si>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</si>
  <si>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</si>
  <si>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</si>
  <si>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</si>
  <si>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</si>
  <si>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</si>
  <si>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</si>
  <si>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</si>
  <si>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</si>
  <si>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</si>
  <si>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</si>
  <si>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</si>
  <si>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</si>
  <si>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</si>
  <si>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</si>
  <si>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</si>
  <si>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</si>
  <si>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</si>
  <si>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</si>
  <si>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</si>
  <si>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</si>
  <si>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</si>
  <si>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</si>
  <si>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</si>
  <si>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</si>
  <si>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</si>
  <si>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</si>
  <si>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</si>
  <si>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</si>
  <si>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</si>
  <si>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</si>
  <si>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</si>
  <si>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</si>
  <si>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</si>
  <si>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</si>
  <si>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</si>
  <si>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</si>
  <si>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</si>
  <si>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</si>
  <si>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</si>
  <si>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</si>
  <si>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</si>
  <si>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</si>
  <si>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</si>
  <si>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</si>
  <si>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</si>
  <si>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</si>
  <si>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</si>
  <si>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</si>
  <si>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</si>
  <si>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</si>
  <si>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</si>
  <si>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</si>
  <si>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</si>
  <si>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</si>
  <si>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</si>
  <si>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</si>
  <si>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</si>
  <si>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</si>
  <si>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</si>
  <si>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</si>
  <si>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</si>
  <si>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</si>
  <si>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</si>
  <si>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</si>
  <si>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</si>
  <si>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</si>
  <si>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</si>
  <si>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</si>
  <si>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</si>
  <si>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</si>
  <si>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</si>
  <si>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</si>
  <si>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</si>
  <si>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</si>
  <si>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</si>
  <si>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</si>
  <si>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</si>
  <si>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</si>
  <si>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</si>
  <si>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</si>
  <si>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</si>
  <si>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</si>
  <si>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</si>
  <si>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</si>
  <si>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</si>
  <si>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</si>
  <si>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</si>
  <si>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</si>
  <si>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</si>
  <si>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</si>
  <si>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</si>
  <si>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</si>
  <si>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</si>
  <si>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</si>
  <si>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</si>
  <si>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</si>
  <si>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</si>
  <si>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</si>
  <si>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</si>
  <si>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</si>
  <si>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</si>
  <si>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</si>
  <si>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</si>
  <si>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</si>
  <si>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</si>
  <si>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</si>
  <si>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</si>
  <si>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</si>
  <si>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</si>
  <si>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</si>
  <si>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</si>
  <si>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</si>
  <si>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</si>
  <si>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</si>
  <si>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</si>
  <si>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</si>
  <si>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</si>
  <si>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</si>
  <si>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</si>
  <si>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</si>
  <si>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</si>
  <si>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</si>
  <si>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</si>
  <si>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</si>
  <si>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</si>
  <si>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</si>
  <si>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</si>
  <si>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</si>
  <si>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</si>
  <si>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</si>
  <si>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</si>
  <si>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</si>
  <si>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</si>
  <si>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</si>
  <si>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</si>
  <si>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</si>
  <si>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</si>
  <si>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</si>
  <si>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</si>
  <si>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</si>
  <si>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</si>
  <si>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</si>
  <si>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</si>
  <si>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</si>
  <si>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</si>
  <si>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</si>
  <si>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</si>
  <si>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</si>
  <si>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</si>
  <si>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</si>
  <si>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</si>
  <si>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</si>
  <si>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</si>
  <si>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</si>
  <si>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</si>
  <si>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</si>
  <si>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</si>
  <si>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</si>
  <si>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</si>
  <si>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</si>
  <si>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</si>
  <si>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</si>
  <si>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</si>
  <si>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</si>
  <si>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</si>
  <si>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</si>
  <si>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</si>
  <si>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</si>
  <si>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</si>
  <si>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</si>
  <si>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</si>
  <si>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</si>
  <si>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</si>
  <si>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</si>
  <si>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</si>
  <si>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</si>
  <si>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</si>
  <si>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</si>
  <si>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</si>
  <si>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</si>
  <si>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</si>
  <si>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</si>
  <si>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</si>
  <si>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</si>
  <si>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</si>
  <si>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</si>
  <si>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</si>
  <si>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</si>
  <si>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</si>
  <si>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</si>
  <si>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</si>
  <si>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</si>
  <si>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</si>
  <si>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</si>
  <si>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</si>
  <si>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</si>
  <si>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</si>
  <si>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</si>
  <si>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</si>
  <si>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</si>
  <si>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</si>
  <si>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</si>
  <si>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</si>
  <si>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</si>
  <si>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</si>
  <si>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</si>
  <si>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</si>
  <si>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</si>
  <si>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</si>
  <si>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</si>
  <si>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</si>
  <si>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</si>
  <si>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</si>
  <si>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</si>
  <si>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</si>
  <si>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</si>
  <si>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</si>
  <si>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</si>
  <si>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</si>
  <si>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</si>
  <si>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</si>
  <si>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</si>
  <si>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</si>
  <si>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</si>
  <si>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</si>
  <si>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</si>
  <si>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</si>
  <si>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</si>
  <si>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</si>
  <si>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</si>
  <si>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</si>
  <si>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</si>
  <si>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</si>
  <si>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</si>
  <si>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</si>
  <si>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</si>
  <si>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</si>
  <si>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</si>
  <si>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</si>
  <si>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</si>
  <si>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</si>
  <si>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</si>
  <si>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</si>
  <si>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</si>
  <si>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</si>
  <si>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</si>
  <si>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</si>
  <si>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</si>
  <si>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</si>
  <si>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</si>
  <si>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</si>
  <si>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</si>
  <si>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</si>
  <si>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</si>
  <si>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</si>
  <si>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</si>
  <si>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</si>
  <si>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</si>
  <si>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</si>
  <si>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</si>
  <si>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</si>
  <si>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</si>
  <si>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</si>
  <si>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</si>
  <si>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</si>
  <si>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</si>
  <si>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</si>
  <si>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</si>
  <si>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</si>
  <si>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</si>
  <si>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</si>
  <si>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</si>
  <si>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</si>
  <si>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</si>
  <si>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</si>
  <si>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</si>
  <si>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</si>
  <si>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</si>
  <si>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</si>
  <si>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</si>
  <si>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</si>
  <si>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</si>
  <si>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</si>
  <si>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</si>
  <si>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</si>
  <si>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</si>
  <si>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</si>
  <si>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</si>
  <si>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</si>
  <si>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</si>
  <si>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</si>
  <si>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</si>
  <si>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</si>
  <si>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</si>
  <si>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</si>
  <si>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</si>
  <si>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</si>
  <si>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</si>
  <si>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</si>
  <si>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</si>
  <si>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</si>
  <si>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</si>
  <si>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</si>
  <si>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</si>
  <si>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</si>
  <si>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</si>
  <si>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</si>
  <si>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</si>
  <si>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</si>
  <si>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</si>
  <si>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</si>
  <si>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</si>
  <si>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</si>
  <si>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</si>
  <si>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</si>
  <si>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</si>
  <si>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</si>
  <si>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</si>
  <si>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</si>
  <si>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</si>
  <si>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</si>
  <si>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</si>
  <si>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</si>
  <si>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</si>
  <si>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</si>
  <si>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</si>
  <si>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</si>
  <si>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</si>
  <si>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</si>
  <si>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</si>
  <si>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</si>
  <si>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</si>
  <si>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</si>
  <si>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</si>
  <si>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</si>
  <si>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</si>
  <si>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</si>
  <si>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</si>
  <si>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</si>
  <si>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</si>
  <si>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</si>
  <si>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</si>
  <si>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</si>
  <si>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</si>
  <si>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</si>
  <si>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</si>
  <si>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</si>
  <si>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</si>
  <si>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</si>
  <si>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</si>
  <si>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</si>
  <si>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</si>
  <si>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</si>
  <si>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</si>
  <si>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</si>
  <si>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</si>
  <si>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</si>
  <si>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</si>
  <si>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</si>
  <si>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</si>
  <si>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</si>
  <si>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</si>
  <si>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</si>
  <si>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</si>
  <si>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</si>
  <si>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</si>
  <si>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</si>
  <si>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</si>
  <si>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</si>
  <si>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</si>
  <si>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</si>
  <si>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</si>
  <si>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</si>
  <si>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</si>
  <si>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</si>
  <si>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</si>
  <si>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</si>
  <si>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</si>
  <si>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</si>
  <si>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</si>
  <si>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</si>
  <si>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</si>
  <si>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</si>
  <si>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</si>
  <si>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</si>
  <si>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</si>
  <si>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</si>
  <si>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</si>
  <si>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</si>
  <si>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</si>
  <si>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</si>
  <si>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</si>
  <si>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</si>
  <si>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</si>
  <si>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</si>
  <si>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</si>
  <si>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</si>
  <si>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</si>
  <si>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</si>
  <si>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</si>
  <si>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</si>
  <si>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</si>
  <si>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</si>
  <si>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</si>
  <si>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</si>
  <si>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</si>
  <si>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</si>
  <si>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</si>
  <si>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</si>
  <si>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</si>
  <si>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</si>
  <si>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</si>
  <si>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</si>
  <si>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</si>
  <si>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</si>
  <si>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</si>
  <si>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</si>
  <si>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</si>
  <si>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</si>
  <si>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</si>
  <si>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</si>
  <si>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</si>
  <si>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</si>
  <si>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</si>
  <si>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</si>
  <si>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</si>
  <si>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</si>
  <si>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</si>
  <si>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</si>
  <si>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</si>
  <si>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</si>
  <si>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</si>
  <si>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</si>
  <si>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</si>
  <si>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</si>
  <si>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</si>
  <si>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</si>
  <si>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</si>
  <si>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</si>
  <si>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</si>
  <si>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</si>
  <si>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</si>
  <si>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</si>
  <si>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</si>
  <si>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</si>
  <si>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</si>
  <si>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</si>
  <si>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</si>
  <si>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</si>
  <si>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</si>
  <si>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</si>
  <si>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</si>
  <si>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</si>
  <si>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</si>
  <si>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</si>
  <si>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</si>
  <si>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</si>
  <si>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</si>
  <si>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</si>
  <si>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</si>
  <si>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</si>
  <si>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</si>
  <si>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</si>
  <si>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</si>
  <si>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</si>
  <si>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</si>
  <si>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</si>
  <si>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</si>
  <si>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</si>
  <si>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</si>
  <si>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</si>
  <si>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</si>
  <si>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</si>
  <si>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</si>
  <si>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</si>
  <si>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</si>
  <si>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</si>
  <si>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</si>
  <si>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</si>
  <si>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</si>
  <si>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</si>
  <si>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</si>
  <si>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</si>
  <si>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</si>
  <si>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</si>
  <si>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</si>
  <si>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</si>
  <si>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</si>
  <si>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</si>
  <si>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</si>
  <si>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</si>
  <si>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</si>
  <si>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</si>
  <si>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</si>
  <si>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</si>
  <si>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</si>
  <si>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</si>
  <si>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</si>
  <si>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</si>
  <si>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</si>
  <si>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</si>
  <si>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</si>
  <si>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</si>
  <si>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</si>
  <si>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</si>
  <si>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</si>
  <si>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</si>
  <si>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</si>
  <si>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</si>
  <si>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</si>
  <si>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</si>
  <si>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</si>
  <si>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</si>
  <si>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</si>
  <si>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</si>
  <si>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</si>
  <si>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</si>
  <si>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</si>
  <si>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</si>
  <si>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</si>
  <si>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</si>
  <si>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</si>
  <si>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</si>
  <si>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</si>
  <si>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</si>
  <si>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</si>
  <si>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</si>
  <si>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</si>
  <si>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</si>
  <si>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</si>
  <si>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</si>
  <si>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</si>
  <si>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</si>
  <si>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</si>
  <si>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</si>
  <si>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</si>
  <si>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</si>
  <si>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</si>
  <si>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</si>
  <si>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</si>
  <si>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</si>
  <si>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</si>
  <si>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</si>
  <si>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</si>
  <si>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</si>
  <si>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</si>
  <si>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</si>
  <si>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</si>
  <si>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</si>
  <si>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</si>
  <si>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</si>
  <si>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</si>
  <si>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</si>
  <si>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</si>
  <si>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</si>
  <si>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</si>
  <si>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</si>
  <si>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</si>
  <si>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</si>
  <si>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</si>
  <si>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</si>
  <si>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</si>
  <si>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</si>
  <si>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</si>
  <si>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</si>
  <si>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</si>
  <si>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</si>
  <si>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</si>
  <si>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</si>
  <si>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</si>
  <si>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</si>
  <si>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</si>
  <si>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</si>
  <si>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</si>
  <si>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</si>
  <si>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</si>
  <si>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</si>
  <si>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</si>
  <si>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</si>
  <si>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</si>
  <si>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</si>
  <si>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</si>
  <si>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</si>
  <si>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</si>
  <si>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</si>
  <si>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</si>
  <si>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</si>
  <si>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</si>
  <si>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</si>
  <si>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</si>
  <si>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</si>
  <si>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</si>
  <si>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</si>
  <si>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</si>
  <si>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</si>
  <si>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</si>
  <si>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</si>
  <si>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</si>
  <si>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</si>
  <si>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</si>
  <si>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</si>
  <si>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</si>
  <si>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</si>
  <si>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</si>
  <si>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</si>
  <si>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</si>
  <si>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</si>
  <si>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</si>
  <si>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</si>
  <si>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</si>
  <si>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</si>
  <si>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</si>
  <si>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</si>
  <si>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</si>
  <si>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</si>
  <si>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</si>
  <si>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</si>
  <si>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</si>
  <si>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</si>
  <si>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</si>
  <si>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</si>
  <si>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</si>
  <si>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</si>
  <si>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</si>
  <si>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</si>
  <si>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</si>
  <si>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</si>
  <si>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</si>
  <si>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</si>
  <si>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</si>
  <si>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</si>
  <si>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</si>
  <si>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</si>
  <si>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</si>
  <si>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</si>
  <si>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</si>
  <si>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</si>
  <si>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</si>
  <si>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</si>
  <si>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</si>
  <si>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</si>
  <si>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</si>
  <si>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</si>
  <si>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</si>
  <si>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</si>
  <si>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</si>
  <si>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</si>
  <si>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</si>
  <si>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</si>
  <si>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</si>
  <si>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</si>
  <si>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</si>
  <si>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</si>
  <si>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</si>
  <si>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</si>
  <si>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</si>
  <si>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</si>
  <si>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</si>
  <si>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</si>
  <si>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</si>
  <si>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</si>
  <si>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</si>
  <si>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</si>
  <si>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</si>
  <si>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</si>
  <si>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</si>
  <si>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</si>
  <si>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</si>
  <si>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</si>
  <si>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</si>
  <si>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</si>
  <si>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</si>
  <si>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</si>
  <si>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</si>
  <si>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</si>
  <si>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</si>
  <si>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</si>
  <si>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</si>
  <si>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</si>
  <si>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</si>
  <si>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</si>
  <si>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</si>
  <si>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</si>
  <si>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</si>
  <si>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</si>
  <si>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</si>
  <si>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</si>
  <si>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</si>
  <si>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</si>
  <si>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</si>
  <si>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</si>
  <si>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</si>
  <si>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</si>
  <si>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</si>
  <si>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</si>
  <si>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</si>
  <si>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</si>
  <si>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</si>
  <si>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</si>
  <si>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</si>
  <si>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</si>
  <si>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</si>
  <si>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</si>
  <si>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</si>
  <si>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</si>
  <si>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</si>
  <si>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</si>
  <si>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</si>
  <si>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</si>
  <si>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</si>
  <si>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</si>
  <si>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</si>
  <si>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</si>
  <si>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</si>
  <si>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</si>
  <si>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</si>
  <si>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</si>
  <si>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</si>
  <si>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</si>
  <si>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</si>
  <si>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</si>
  <si>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</si>
  <si>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</si>
  <si>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</si>
  <si>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</si>
  <si>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</si>
  <si>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</si>
  <si>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</si>
  <si>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</si>
  <si>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</si>
  <si>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</si>
  <si>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</si>
  <si>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</si>
  <si>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</si>
  <si>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</si>
  <si>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</si>
  <si>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</si>
  <si>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</si>
  <si>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</si>
  <si>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</si>
  <si>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</si>
  <si>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</si>
  <si>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</si>
  <si>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</si>
  <si>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</si>
  <si>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</si>
  <si>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</si>
  <si>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</si>
  <si>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</si>
  <si>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</si>
  <si>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</si>
  <si>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</si>
  <si>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</si>
  <si>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</si>
  <si>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</si>
  <si>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</si>
  <si>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</si>
  <si>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</si>
  <si>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</si>
  <si>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</si>
  <si>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</si>
  <si>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</si>
  <si>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</si>
  <si>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</si>
  <si>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</si>
  <si>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</si>
  <si>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</si>
  <si>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</si>
  <si>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</si>
  <si>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</si>
  <si>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</si>
  <si>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</si>
  <si>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</si>
  <si>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</si>
  <si>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</si>
  <si>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</si>
  <si>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</si>
  <si>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</si>
  <si>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</si>
  <si>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</si>
  <si>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</si>
  <si>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</si>
  <si>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</si>
  <si>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</si>
  <si>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</si>
  <si>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</si>
  <si>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</si>
  <si>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</si>
  <si>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</si>
  <si>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</si>
  <si>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</si>
  <si>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</si>
  <si>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</si>
  <si>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</si>
  <si>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</si>
  <si>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</si>
  <si>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</si>
  <si>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</si>
  <si>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</si>
  <si>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</si>
  <si>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</si>
  <si>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</si>
  <si>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</si>
  <si>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</si>
  <si>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</si>
  <si>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</si>
  <si>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</si>
  <si>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</si>
  <si>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</si>
  <si>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</si>
  <si>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</si>
  <si>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</si>
  <si>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</si>
  <si>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</si>
  <si>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</si>
  <si>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</si>
  <si>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</si>
  <si>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</si>
  <si>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</si>
  <si>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</si>
  <si>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</si>
  <si>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</si>
  <si>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</si>
  <si>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</si>
  <si>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</si>
  <si>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</si>
  <si>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</si>
  <si>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</si>
  <si>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</si>
  <si>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</si>
  <si>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</si>
  <si>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</si>
  <si>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</si>
  <si>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</si>
  <si>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</si>
  <si>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</si>
  <si>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</si>
  <si>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</si>
  <si>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</si>
  <si>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</si>
  <si>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</si>
  <si>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</si>
  <si>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</si>
  <si>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</si>
  <si>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</si>
  <si>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</si>
  <si>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</si>
  <si>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</si>
  <si>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</si>
  <si>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</si>
  <si>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</si>
  <si>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</si>
  <si>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</si>
  <si>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</si>
  <si>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</si>
  <si>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</si>
  <si>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</si>
  <si>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</si>
  <si>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</si>
  <si>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</si>
  <si>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</si>
  <si>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</si>
  <si>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</si>
  <si>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</si>
  <si>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</si>
  <si>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</si>
  <si>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</si>
  <si>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</si>
  <si>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</si>
  <si>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</si>
  <si>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</si>
  <si>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</si>
  <si>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</si>
  <si>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</si>
  <si>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</si>
  <si>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</si>
  <si>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</si>
  <si>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</si>
  <si>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</si>
  <si>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</si>
  <si>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</si>
  <si>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</si>
  <si>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</si>
  <si>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</si>
  <si>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</si>
  <si>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</si>
  <si>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</si>
  <si>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</si>
  <si>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</si>
  <si>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</si>
  <si>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</si>
  <si>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</si>
  <si>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</si>
  <si>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</si>
  <si>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</si>
  <si>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</si>
  <si>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</si>
  <si>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</si>
  <si>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</si>
  <si>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</si>
  <si>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</si>
  <si>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</si>
  <si>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</si>
  <si>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</si>
  <si>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</si>
  <si>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</si>
  <si>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</si>
  <si>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</si>
  <si>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</si>
  <si>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</si>
  <si>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</si>
  <si>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</si>
  <si>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</si>
  <si>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</si>
  <si>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</si>
  <si>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</si>
  <si>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</si>
  <si>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</si>
  <si>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</si>
  <si>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</si>
  <si>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</si>
  <si>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</si>
  <si>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</si>
  <si>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</si>
  <si>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</si>
  <si>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</si>
  <si>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</si>
  <si>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</si>
  <si>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</si>
  <si>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</si>
  <si>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</si>
  <si>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</si>
  <si>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</si>
  <si>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</si>
  <si>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</si>
  <si>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</si>
  <si>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</si>
  <si>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</si>
  <si>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</si>
  <si>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</si>
  <si>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</si>
  <si>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</si>
  <si>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</si>
  <si>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</si>
  <si>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</si>
  <si>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</si>
  <si>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</si>
  <si>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</si>
  <si>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</si>
  <si>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</si>
  <si>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</si>
  <si>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</si>
  <si>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</si>
  <si>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</si>
  <si>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</si>
  <si>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</si>
  <si>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</si>
  <si>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</si>
  <si>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</si>
  <si>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</si>
  <si>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</si>
  <si>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</si>
  <si>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</si>
  <si>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</si>
  <si>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</si>
  <si>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</si>
  <si>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</si>
  <si>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</si>
  <si>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</si>
  <si>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</si>
  <si>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</si>
  <si>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</si>
  <si>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</si>
  <si>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</si>
  <si>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</si>
  <si>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</si>
  <si>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</si>
  <si>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</si>
  <si>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</si>
  <si>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</si>
  <si>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</si>
  <si>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</si>
  <si>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</si>
  <si>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</si>
  <si>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</si>
  <si>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</si>
  <si>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</si>
  <si>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</si>
  <si>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</si>
  <si>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</si>
  <si>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</si>
  <si>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</si>
  <si>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</si>
  <si>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</si>
  <si>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</si>
  <si>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</si>
  <si>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</si>
  <si>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</si>
  <si>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</si>
  <si>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</si>
  <si>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</si>
  <si>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</si>
  <si>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</si>
  <si>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</si>
  <si>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</si>
  <si>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</si>
  <si>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</si>
  <si>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</si>
  <si>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</si>
  <si>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</si>
  <si>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</si>
  <si>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</si>
  <si>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</si>
  <si>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</si>
  <si>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</si>
  <si>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</si>
  <si>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</si>
  <si>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</si>
  <si>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</si>
  <si>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</si>
  <si>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</si>
  <si>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</si>
  <si>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</si>
  <si>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</si>
  <si>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</si>
  <si>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</si>
  <si>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</si>
  <si>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</si>
  <si>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</si>
  <si>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</si>
  <si>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</si>
  <si>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</si>
  <si>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</si>
  <si>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</si>
  <si>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</si>
  <si>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</si>
  <si>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</si>
  <si>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</si>
  <si>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</si>
  <si>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</si>
  <si>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</si>
  <si>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</si>
  <si>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</si>
  <si>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</si>
  <si>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</si>
  <si>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</si>
  <si>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</si>
  <si>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</si>
  <si>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</si>
  <si>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</si>
  <si>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</si>
  <si>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</si>
  <si>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</si>
  <si>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</si>
  <si>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</si>
  <si>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</si>
  <si>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</si>
  <si>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</si>
  <si>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</si>
  <si>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</si>
  <si>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</si>
  <si>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</si>
  <si>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</si>
  <si>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</si>
  <si>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</si>
  <si>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</si>
  <si>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</si>
  <si>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</si>
  <si>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</si>
  <si>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</si>
  <si>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</si>
  <si>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</si>
  <si>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</si>
  <si>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</si>
  <si>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</si>
  <si>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</si>
  <si>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</si>
  <si>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</si>
  <si>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</si>
  <si>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</si>
  <si>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</si>
  <si>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</si>
  <si>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</si>
  <si>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</si>
  <si>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</si>
  <si>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</si>
  <si>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</si>
  <si>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</si>
  <si>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</si>
  <si>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</si>
  <si>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</si>
  <si>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</si>
  <si>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</si>
  <si>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</si>
  <si>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</si>
  <si>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</si>
  <si>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</si>
  <si>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</si>
  <si>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</si>
  <si>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</si>
  <si>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</si>
  <si>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</si>
  <si>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</si>
  <si>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</si>
  <si>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</si>
  <si>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</si>
  <si>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</si>
  <si>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</si>
  <si>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</si>
  <si>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</si>
  <si>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</si>
  <si>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</si>
  <si>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</si>
  <si>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</si>
  <si>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</si>
  <si>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</si>
  <si>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</si>
  <si>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</si>
  <si>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</si>
  <si>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</si>
  <si>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</si>
  <si>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</si>
  <si>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</si>
  <si>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</si>
  <si>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</si>
  <si>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</si>
  <si>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</si>
  <si>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</si>
  <si>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</si>
  <si>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</si>
  <si>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</si>
  <si>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</si>
  <si>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</si>
  <si>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</si>
  <si>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</si>
  <si>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</si>
  <si>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</si>
  <si>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</si>
  <si>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</si>
  <si>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</si>
  <si>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</si>
  <si>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</si>
  <si>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</si>
  <si>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</si>
  <si>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</si>
  <si>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</si>
  <si>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</si>
  <si>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</si>
  <si>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</si>
  <si>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</si>
  <si>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</si>
  <si>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</si>
  <si>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</si>
  <si>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</si>
  <si>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</si>
  <si>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</si>
  <si>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</si>
  <si>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</si>
  <si>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</si>
  <si>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</si>
  <si>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</si>
  <si>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</si>
  <si>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</si>
  <si>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</si>
  <si>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</si>
  <si>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</si>
  <si>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</si>
  <si>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</si>
  <si>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</si>
  <si>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</si>
  <si>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</si>
  <si>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</si>
  <si>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</si>
  <si>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</si>
  <si>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</si>
  <si>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</si>
  <si>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</si>
  <si>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</si>
  <si>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</si>
  <si>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</si>
  <si>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</si>
  <si>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</si>
  <si>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</si>
  <si>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</si>
  <si>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</si>
  <si>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</si>
  <si>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</si>
  <si>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</si>
  <si>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</si>
  <si>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</si>
  <si>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</si>
  <si>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</si>
  <si>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</si>
  <si>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</si>
  <si>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</si>
  <si>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</si>
  <si>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</si>
  <si>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</si>
  <si>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</si>
  <si>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</si>
  <si>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</si>
  <si>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</si>
  <si>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</si>
  <si>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</si>
  <si>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</si>
  <si>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</si>
  <si>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</si>
  <si>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</si>
  <si>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</si>
  <si>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</si>
  <si>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</si>
  <si>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</si>
  <si>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</si>
  <si>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</si>
  <si>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</si>
  <si>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</si>
  <si>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</si>
  <si>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</si>
  <si>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</si>
  <si>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</si>
  <si>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</si>
  <si>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</si>
  <si>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</si>
  <si>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</si>
  <si>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</si>
  <si>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</si>
  <si>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</si>
  <si>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</si>
  <si>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</si>
  <si>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</si>
  <si>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</si>
  <si>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</si>
  <si>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</si>
  <si>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</si>
  <si>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</si>
  <si>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</si>
  <si>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</si>
  <si>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</si>
  <si>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</si>
  <si>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</si>
  <si>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</si>
  <si>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</si>
  <si>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</si>
  <si>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</si>
  <si>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</si>
  <si>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</si>
  <si>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</si>
  <si>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</si>
  <si>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</si>
  <si>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</si>
  <si>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</si>
  <si>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</si>
  <si>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</si>
  <si>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</si>
  <si>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</si>
  <si>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</si>
  <si>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</si>
  <si>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</si>
  <si>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</si>
  <si>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</si>
  <si>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</si>
  <si>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</si>
  <si>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</si>
  <si>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</si>
  <si>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</si>
  <si>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</si>
  <si>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</si>
  <si>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</si>
  <si>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</si>
  <si>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</si>
  <si>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</si>
  <si>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</si>
  <si>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</si>
  <si>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</si>
  <si>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</si>
  <si>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</si>
  <si>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</si>
  <si>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</si>
  <si>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</si>
  <si>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</si>
  <si>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</si>
  <si>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</si>
  <si>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</si>
  <si>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</si>
  <si>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</si>
  <si>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</si>
  <si>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</si>
  <si>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</si>
  <si>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</si>
  <si>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</si>
  <si>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</si>
  <si>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</si>
  <si>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</si>
  <si>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</si>
  <si>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</si>
  <si>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</si>
  <si>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</si>
  <si>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</si>
  <si>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</si>
  <si>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</si>
  <si>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</si>
  <si>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</si>
  <si>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</si>
  <si>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</si>
  <si>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</si>
  <si>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</si>
  <si>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</si>
  <si>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</si>
  <si>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</si>
  <si>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</si>
  <si>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</si>
  <si>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</si>
  <si>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</si>
  <si>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</si>
  <si>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</si>
  <si>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</si>
  <si>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</si>
  <si>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</si>
  <si>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</si>
  <si>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</si>
  <si>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</si>
  <si>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</si>
  <si>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</si>
  <si>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</si>
  <si>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</si>
  <si>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</si>
  <si>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</si>
  <si>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</si>
  <si>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</si>
  <si>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</si>
  <si>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</si>
  <si>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</si>
  <si>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</si>
  <si>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</si>
  <si>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</si>
  <si>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</si>
  <si>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</si>
  <si>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</si>
  <si>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</si>
  <si>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</si>
  <si>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</si>
  <si>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</si>
  <si>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</si>
  <si>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</si>
  <si>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</si>
  <si>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</si>
  <si>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</si>
  <si>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</si>
  <si>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</si>
  <si>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</si>
  <si>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</si>
  <si>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</si>
  <si>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</si>
  <si>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</si>
  <si>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</si>
  <si>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</si>
  <si>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</si>
  <si>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</si>
  <si>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</si>
  <si>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</si>
  <si>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</si>
  <si>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</si>
  <si>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</si>
  <si>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</si>
  <si>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</si>
  <si>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</si>
  <si>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</si>
  <si>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</si>
  <si>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</si>
  <si>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</si>
  <si>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</si>
  <si>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</si>
  <si>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</si>
  <si>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</si>
  <si>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</si>
  <si>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</si>
  <si>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</si>
  <si>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</si>
  <si>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</si>
  <si>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</si>
  <si>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</si>
  <si>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</si>
  <si>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</si>
  <si>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</si>
  <si>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</si>
  <si>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</si>
  <si>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</si>
  <si>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</si>
  <si>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</si>
  <si>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</si>
  <si>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</si>
  <si>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</si>
  <si>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</si>
  <si>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</si>
  <si>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</si>
  <si>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</si>
  <si>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</si>
  <si>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</si>
  <si>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</si>
  <si>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</si>
  <si>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</si>
  <si>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</si>
  <si>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</si>
  <si>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</si>
  <si>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</si>
  <si>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</si>
  <si>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</si>
  <si>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</si>
  <si>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</si>
  <si>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</si>
  <si>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</si>
  <si>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</si>
  <si>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</si>
  <si>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</si>
  <si>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</si>
  <si>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</si>
  <si>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</si>
  <si>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</si>
  <si>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</si>
  <si>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</si>
  <si>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</si>
  <si>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</si>
  <si>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</si>
  <si>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</si>
  <si>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</si>
  <si>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</si>
  <si>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</si>
  <si>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</si>
  <si>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</si>
  <si>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</si>
  <si>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</si>
  <si>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</si>
  <si>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</si>
  <si>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</si>
  <si>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</si>
  <si>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</si>
  <si>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</si>
  <si>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</si>
  <si>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</si>
  <si>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</si>
  <si>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</si>
  <si>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</si>
  <si>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</si>
  <si>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</si>
  <si>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</si>
  <si>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</si>
  <si>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</si>
  <si>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</si>
  <si>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</si>
  <si>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</si>
  <si>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</si>
  <si>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</si>
  <si>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</si>
  <si>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</si>
  <si>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</si>
  <si>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</si>
  <si>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</si>
  <si>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</si>
  <si>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</si>
  <si>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</si>
  <si>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</si>
  <si>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</si>
  <si>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</si>
  <si>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</si>
  <si>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</si>
  <si>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</si>
  <si>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</si>
  <si>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</si>
  <si>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</si>
  <si>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</si>
  <si>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</si>
  <si>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</si>
  <si>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</si>
  <si>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</si>
  <si>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</si>
  <si>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</si>
  <si>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</si>
  <si>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</si>
  <si>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</si>
  <si>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</si>
  <si>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</si>
  <si>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</si>
  <si>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</si>
  <si>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</si>
  <si>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</si>
  <si>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</si>
  <si>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</si>
  <si>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</si>
  <si>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</si>
  <si>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</si>
  <si>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</si>
  <si>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</si>
  <si>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</si>
  <si>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</si>
  <si>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</si>
  <si>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</si>
  <si>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</si>
  <si>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</si>
  <si>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</si>
  <si>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</si>
  <si>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</si>
  <si>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</si>
  <si>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</si>
  <si>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</si>
  <si>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</si>
  <si>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</si>
  <si>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</si>
  <si>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</si>
  <si>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</si>
  <si>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</si>
  <si>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</si>
  <si>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</si>
  <si>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</si>
  <si>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</si>
  <si>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</si>
  <si>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</si>
  <si>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</si>
  <si>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</si>
  <si>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</si>
  <si>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</si>
  <si>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</si>
  <si>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</si>
  <si>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</si>
  <si>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</si>
  <si>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</si>
  <si>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</si>
  <si>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</si>
  <si>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</si>
  <si>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</si>
  <si>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</si>
  <si>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</si>
  <si>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</si>
  <si>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</si>
  <si>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</si>
  <si>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</si>
  <si>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</si>
  <si>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</si>
  <si>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</si>
  <si>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</si>
  <si>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</si>
  <si>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</si>
  <si>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</si>
  <si>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</si>
  <si>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</si>
  <si>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</si>
  <si>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</si>
  <si>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</si>
  <si>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</si>
  <si>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</si>
  <si>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</si>
  <si>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</si>
  <si>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</si>
  <si>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</si>
  <si>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</si>
  <si>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</si>
  <si>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</si>
  <si>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</si>
  <si>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</si>
  <si>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</si>
  <si>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</si>
  <si>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</si>
  <si>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</si>
  <si>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</si>
  <si>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</si>
  <si>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</si>
  <si>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</si>
  <si>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</si>
  <si>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</si>
  <si>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</si>
  <si>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</si>
  <si>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</si>
  <si>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</si>
  <si>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</si>
  <si>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</si>
  <si>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</si>
  <si>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</si>
  <si>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</si>
  <si>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</si>
  <si>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</si>
  <si>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</si>
  <si>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</si>
  <si>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</si>
  <si>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</si>
  <si>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</si>
  <si>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</si>
  <si>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</si>
  <si>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</si>
  <si>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</si>
  <si>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</si>
  <si>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</si>
  <si>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</si>
  <si>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</si>
  <si>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</si>
  <si>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</si>
  <si>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</si>
  <si>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</si>
  <si>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</si>
  <si>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</si>
  <si>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</si>
  <si>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</si>
  <si>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</si>
  <si>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</si>
  <si>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</si>
  <si>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</si>
  <si>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</si>
  <si>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</si>
  <si>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</si>
  <si>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</si>
  <si>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</si>
  <si>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</si>
  <si>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</si>
  <si>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</si>
  <si>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</si>
  <si>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</si>
  <si>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</si>
  <si>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</si>
  <si>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</si>
  <si>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</si>
  <si>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</si>
  <si>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</si>
  <si>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</si>
  <si>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</si>
  <si>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</si>
  <si>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</si>
  <si>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</si>
  <si>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</si>
  <si>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</si>
  <si>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</si>
  <si>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</si>
  <si>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</si>
  <si>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</si>
  <si>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</si>
  <si>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</si>
  <si>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</si>
  <si>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</si>
  <si>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</si>
  <si>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</si>
  <si>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</si>
  <si>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</si>
  <si>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</si>
  <si>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</si>
  <si>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</si>
  <si>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</si>
  <si>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</si>
  <si>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</si>
  <si>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</si>
  <si>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</si>
  <si>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</si>
  <si>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</si>
  <si>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</si>
  <si>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</si>
  <si>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</si>
  <si>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</si>
  <si>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</si>
  <si>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</si>
  <si>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</si>
  <si>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</si>
  <si>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</si>
  <si>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</si>
  <si>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</si>
  <si>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</si>
  <si>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</si>
  <si>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</si>
  <si>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</si>
  <si>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</si>
  <si>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</si>
  <si>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</si>
  <si>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</si>
  <si>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</si>
  <si>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</si>
  <si>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</si>
  <si>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</si>
  <si>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</si>
  <si>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</si>
  <si>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</si>
  <si>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</si>
  <si>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</si>
  <si>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</si>
  <si>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</si>
  <si>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</si>
  <si>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</si>
  <si>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</si>
  <si>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</si>
  <si>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</si>
  <si>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</si>
  <si>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</si>
  <si>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</si>
  <si>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</si>
  <si>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</si>
  <si>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</si>
  <si>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</si>
  <si>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</si>
  <si>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</si>
  <si>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</si>
  <si>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</si>
  <si>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</si>
  <si>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</si>
  <si>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</si>
  <si>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</si>
  <si>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</si>
  <si>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</si>
  <si>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</si>
  <si>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</si>
  <si>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</si>
  <si>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</si>
  <si>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</si>
  <si>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</si>
  <si>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</si>
  <si>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</si>
  <si>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</si>
  <si>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</si>
  <si>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</si>
  <si>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</si>
  <si>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</si>
  <si>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</si>
  <si>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</si>
  <si>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</si>
  <si>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</si>
  <si>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</si>
  <si>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</si>
  <si>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</si>
  <si>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</si>
  <si>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</si>
  <si>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</si>
  <si>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</si>
  <si>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</si>
  <si>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</si>
  <si>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</si>
  <si>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</si>
  <si>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</si>
  <si>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</si>
  <si>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</si>
  <si>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</si>
  <si>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</si>
  <si>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</si>
  <si>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</si>
  <si>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</si>
  <si>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</si>
  <si>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</si>
  <si>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</si>
  <si>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</si>
  <si>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</si>
  <si>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</si>
  <si>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</si>
  <si>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</si>
  <si>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</si>
  <si>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</si>
  <si>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</si>
  <si>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</si>
  <si>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</si>
  <si>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</si>
  <si>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</si>
  <si>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</si>
  <si>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</si>
  <si>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</si>
  <si>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</si>
  <si>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</si>
  <si>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</si>
  <si>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</si>
  <si>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</si>
  <si>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</si>
  <si>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</si>
  <si>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</si>
  <si>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</si>
  <si>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</si>
  <si>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</si>
  <si>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</si>
  <si>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</si>
  <si>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</si>
  <si>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</si>
  <si>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</si>
  <si>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</si>
  <si>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</si>
  <si>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</si>
  <si>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</si>
  <si>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</si>
  <si>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</si>
  <si>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</si>
  <si>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</si>
  <si>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</si>
  <si>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</si>
  <si>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</si>
  <si>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</si>
  <si>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</si>
  <si>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</si>
  <si>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</si>
  <si>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</si>
  <si>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</si>
  <si>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</si>
  <si>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</si>
  <si>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</si>
  <si>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</si>
  <si>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</si>
  <si>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</si>
  <si>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</si>
  <si>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</si>
  <si>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</si>
  <si>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</si>
  <si>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</si>
  <si>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</si>
  <si>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</si>
  <si>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</si>
  <si>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</si>
  <si>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</si>
  <si>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</si>
  <si>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</si>
  <si>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</si>
  <si>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</si>
  <si>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</si>
  <si>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</si>
  <si>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</si>
  <si>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</si>
  <si>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</si>
  <si>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</si>
  <si>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</si>
  <si>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</si>
  <si>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</si>
  <si>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</si>
  <si>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</si>
  <si>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</si>
  <si>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</si>
  <si>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</si>
  <si>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</si>
  <si>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</si>
  <si>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</si>
  <si>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</si>
  <si>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</si>
  <si>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</si>
  <si>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</si>
  <si>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</si>
  <si>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</si>
  <si>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</si>
  <si>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</si>
  <si>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</si>
  <si>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</si>
  <si>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</si>
  <si>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</si>
  <si>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</si>
  <si>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</si>
  <si>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</si>
  <si>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</si>
  <si>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</si>
  <si>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</si>
  <si>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</si>
  <si>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</si>
  <si>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</si>
  <si>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</si>
  <si>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</si>
  <si>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</si>
  <si>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</si>
  <si>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</si>
  <si>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</si>
  <si>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</si>
  <si>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</si>
  <si>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</si>
  <si>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</si>
  <si>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</si>
  <si>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</si>
  <si>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</si>
  <si>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</si>
  <si>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</si>
  <si>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</si>
  <si>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</si>
  <si>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</si>
  <si>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</si>
  <si>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</si>
  <si>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</si>
  <si>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</si>
  <si>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</si>
  <si>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</si>
  <si>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</si>
  <si>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</si>
  <si>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</si>
  <si>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</si>
  <si>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</si>
  <si>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</si>
  <si>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</si>
  <si>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</si>
  <si>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</si>
  <si>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</si>
  <si>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</si>
  <si>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</si>
  <si>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</si>
  <si>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</si>
  <si>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</si>
  <si>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</si>
  <si>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</si>
  <si>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</si>
  <si>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</si>
  <si>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</si>
  <si>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</si>
  <si>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</si>
  <si>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</si>
  <si>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</si>
  <si>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</si>
  <si>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</si>
  <si>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</si>
  <si>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</si>
  <si>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</si>
  <si>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</si>
  <si>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</si>
  <si>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</si>
  <si>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</si>
  <si>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</si>
  <si>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</si>
  <si>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</si>
  <si>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</si>
  <si>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</si>
  <si>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</si>
  <si>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</si>
  <si>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</si>
  <si>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</si>
  <si>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</si>
  <si>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</si>
  <si>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</si>
  <si>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</si>
  <si>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</si>
  <si>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</si>
  <si>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</si>
  <si>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</si>
  <si>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</si>
  <si>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</si>
  <si>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</si>
  <si>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</si>
  <si>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</si>
  <si>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</si>
  <si>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</si>
  <si>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</si>
  <si>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</si>
  <si>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</si>
  <si>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</si>
  <si>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</si>
  <si>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</si>
  <si>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</si>
  <si>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</si>
  <si>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</si>
  <si>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</si>
  <si>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</si>
  <si>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</si>
  <si>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</si>
  <si>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</si>
  <si>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</si>
  <si>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</si>
  <si>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</si>
  <si>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</si>
  <si>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</si>
  <si>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</si>
  <si>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</si>
  <si>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</si>
  <si>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</si>
  <si>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</si>
  <si>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</si>
  <si>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</si>
  <si>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</si>
  <si>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</si>
  <si>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</si>
  <si>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</si>
  <si>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</si>
  <si>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</si>
  <si>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</si>
  <si>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</si>
  <si>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</si>
  <si>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</si>
  <si>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</si>
  <si>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</si>
  <si>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</si>
  <si>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</si>
  <si>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</si>
  <si>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</si>
  <si>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</si>
  <si>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</si>
  <si>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</si>
  <si>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</si>
  <si>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</si>
  <si>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</si>
  <si>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</si>
  <si>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</si>
  <si>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</si>
  <si>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</si>
  <si>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</si>
  <si>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</si>
  <si>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</si>
  <si>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</si>
  <si>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</si>
  <si>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</si>
  <si>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</si>
  <si>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</si>
  <si>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</si>
  <si>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</si>
  <si>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</si>
  <si>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</si>
  <si>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</si>
  <si>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</si>
  <si>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</si>
  <si>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</si>
  <si>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</si>
  <si>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</si>
  <si>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</si>
  <si>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</si>
  <si>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</si>
  <si>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</si>
  <si>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</si>
  <si>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</si>
  <si>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</si>
  <si>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</si>
  <si>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</si>
  <si>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</si>
  <si>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</si>
  <si>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</si>
  <si>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</si>
  <si>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</si>
  <si>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</si>
  <si>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</si>
  <si>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</si>
  <si>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</si>
  <si>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</si>
  <si>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</si>
  <si>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</si>
  <si>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</si>
  <si>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</si>
  <si>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FLOYD &amp; ASSOCIATES, CPAs</t>
  </si>
  <si>
    <t>MACON</t>
  </si>
  <si>
    <t>JULIE M. FLOYD, CPA</t>
  </si>
  <si>
    <t>910 STATE HIGHWAY 54 EAST</t>
  </si>
  <si>
    <t>430 WEST NORTH STREET</t>
  </si>
  <si>
    <t>CLINTON</t>
  </si>
  <si>
    <t>IL</t>
  </si>
  <si>
    <t xml:space="preserve">WARRENSBURG </t>
  </si>
  <si>
    <t>217-935-8871</t>
  </si>
  <si>
    <t>217-935-5711</t>
  </si>
  <si>
    <t>baileyt@wl.k12.il.us</t>
  </si>
  <si>
    <t>Dr. KRISTEN KENDRICK-WEIKLE</t>
  </si>
  <si>
    <t>kendrickk@wl.k12.il.us</t>
  </si>
  <si>
    <t>217-672-3514</t>
  </si>
  <si>
    <t>217-672-8468</t>
  </si>
  <si>
    <t>2009 SCHOOL BONDS</t>
  </si>
  <si>
    <t>2015 GENERAL OBLIGATION SCHOOL BONDS</t>
  </si>
  <si>
    <t>2016B GENERAL OBLIGATION REFUNDING BONDS</t>
  </si>
  <si>
    <t>x</t>
  </si>
  <si>
    <t>Macon-Piatt Special Education Cooperative</t>
  </si>
  <si>
    <t>Heartland Technical Academy</t>
  </si>
  <si>
    <t>Maroa-Forsyth C.U.S.D. #2 (Cross Country &amp; Soccer)</t>
  </si>
  <si>
    <t>2008 SCHOOL BONDS</t>
  </si>
  <si>
    <t>2018 GENERAL OBLIGATION SCHOOL BONDS</t>
  </si>
  <si>
    <t>Floyd &amp; Associates, CPAs</t>
  </si>
  <si>
    <t>Page 11,Line 107</t>
  </si>
  <si>
    <t>Education Fund</t>
  </si>
  <si>
    <t>SAP</t>
  </si>
  <si>
    <t>Page 12, Line 168</t>
  </si>
  <si>
    <t>Page 15, Line 41</t>
  </si>
  <si>
    <t>Page 18, Line 171</t>
  </si>
  <si>
    <t>Debt Services Fund</t>
  </si>
  <si>
    <t>Debt Services - Lease Payments</t>
  </si>
  <si>
    <t>Other Support Services - Pupils</t>
  </si>
  <si>
    <t>Bond Fees</t>
  </si>
  <si>
    <t>Capital lease Payments</t>
  </si>
  <si>
    <t>Page 19, Line 237</t>
  </si>
  <si>
    <t xml:space="preserve">$ </t>
  </si>
  <si>
    <t>Parking Permits</t>
  </si>
  <si>
    <t>Library Grant</t>
  </si>
  <si>
    <t>PSAT-1 Reimbursement</t>
  </si>
  <si>
    <t>Monsanto</t>
  </si>
  <si>
    <t>ADM Grant</t>
  </si>
  <si>
    <t>Maroa Forsyth CUSD #2 Athletic Salaries</t>
  </si>
  <si>
    <t>Chromebooks Insurance Refund</t>
  </si>
  <si>
    <t>Pre-K Grant Refund</t>
  </si>
  <si>
    <t>Clow Controls Donation</t>
  </si>
  <si>
    <t>Misc Revenue</t>
  </si>
  <si>
    <t>Field Trip Reimbursement</t>
  </si>
  <si>
    <t>ED - Support Services - Purchased services</t>
  </si>
  <si>
    <t>Decatur Memorial Hospital</t>
  </si>
  <si>
    <t>10-2100-300</t>
  </si>
  <si>
    <t>Warrensburg-Latham CUSD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</si>
</sst>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 fontId="57" fillId="0" borderId="0" xfId="0" applyNumberFormat="1" applyFont="1"/>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6" t="s">
        <v>405</v>
      </c>
      <c r="J1" s="2017"/>
      <c r="K1" s="2017"/>
      <c r="L1" s="2017"/>
      <c r="M1" s="2017"/>
      <c r="N1" s="2017"/>
      <c r="O1" s="2017"/>
      <c r="P1" s="2017"/>
      <c r="Q1" s="2017"/>
      <c r="R1" s="2017"/>
      <c r="S1" s="2017"/>
    </row>
    <row r="2" spans="1:28" ht="12" customHeight="1" x14ac:dyDescent="0.2">
      <c r="A2" s="47" t="s">
        <v>1991</v>
      </c>
      <c r="D2" s="48"/>
      <c r="I2" s="2018" t="s">
        <v>979</v>
      </c>
      <c r="J2" s="2017"/>
      <c r="K2" s="2017"/>
      <c r="L2" s="2017"/>
      <c r="M2" s="2017"/>
      <c r="N2" s="2017"/>
      <c r="O2" s="2017"/>
      <c r="P2" s="2017"/>
      <c r="Q2" s="2017"/>
      <c r="R2" s="2017"/>
      <c r="S2" s="2017"/>
    </row>
    <row r="3" spans="1:28" ht="12" customHeight="1" x14ac:dyDescent="0.2">
      <c r="A3" s="155" t="s">
        <v>1943</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2064</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2064</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39055011026</v>
      </c>
      <c r="B13" s="1987"/>
      <c r="C13" s="1987"/>
      <c r="D13" s="1987"/>
      <c r="E13" s="1987"/>
      <c r="F13" s="1987"/>
      <c r="G13" s="1987"/>
      <c r="H13" s="1988"/>
      <c r="I13" s="31"/>
      <c r="J13" s="30"/>
      <c r="K13" s="28"/>
      <c r="L13" s="30"/>
      <c r="M13" s="30"/>
      <c r="N13" s="30"/>
      <c r="O13" s="30"/>
      <c r="P13" s="30"/>
      <c r="Q13" s="30"/>
      <c r="R13" s="30"/>
      <c r="S13" s="30"/>
      <c r="T13" s="1991" t="s">
        <v>2065</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2066</v>
      </c>
      <c r="B15" s="1989"/>
      <c r="C15" s="1989"/>
      <c r="D15" s="1989"/>
      <c r="E15" s="1989"/>
      <c r="F15" s="1989"/>
      <c r="G15" s="1989"/>
      <c r="H15" s="1990"/>
      <c r="T15" s="1952" t="s">
        <v>2067</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2117</v>
      </c>
      <c r="B17" s="2014"/>
      <c r="C17" s="2014"/>
      <c r="D17" s="2014"/>
      <c r="E17" s="2014"/>
      <c r="F17" s="2014"/>
      <c r="G17" s="2014"/>
      <c r="H17" s="2015"/>
      <c r="T17" s="2001" t="s">
        <v>2068</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2069</v>
      </c>
      <c r="B19" s="1985"/>
      <c r="C19" s="1985"/>
      <c r="D19" s="1985"/>
      <c r="E19" s="1985"/>
      <c r="F19" s="1985"/>
      <c r="G19" s="1985"/>
      <c r="H19" s="1983"/>
      <c r="I19" s="30"/>
      <c r="J19" s="99"/>
      <c r="K19" s="40"/>
      <c r="L19" s="38"/>
      <c r="M19" s="112" t="s">
        <v>315</v>
      </c>
      <c r="P19" s="27"/>
      <c r="Q19" s="27"/>
      <c r="R19" s="27"/>
      <c r="S19" s="31"/>
      <c r="T19" s="1984" t="s">
        <v>2070</v>
      </c>
      <c r="U19" s="1982"/>
      <c r="V19" s="1982"/>
      <c r="W19" s="1983"/>
      <c r="X19" s="1999" t="s">
        <v>2071</v>
      </c>
      <c r="Y19" s="2000"/>
      <c r="Z19" s="1997">
        <v>61727</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2072</v>
      </c>
      <c r="B21" s="1982"/>
      <c r="C21" s="1982"/>
      <c r="D21" s="1982"/>
      <c r="E21" s="1982"/>
      <c r="F21" s="1982"/>
      <c r="G21" s="1982"/>
      <c r="H21" s="1983"/>
      <c r="I21" s="2007" t="s">
        <v>678</v>
      </c>
      <c r="J21" s="1970"/>
      <c r="K21" s="1970"/>
      <c r="L21" s="1970"/>
      <c r="M21" s="1970"/>
      <c r="N21" s="1970"/>
      <c r="O21" s="1970"/>
      <c r="P21" s="1970"/>
      <c r="Q21" s="1970"/>
      <c r="R21" s="1970"/>
      <c r="S21" s="1971"/>
      <c r="T21" s="1949" t="s">
        <v>2073</v>
      </c>
      <c r="U21" s="1950"/>
      <c r="V21" s="1950"/>
      <c r="W21" s="1950"/>
      <c r="X21" s="1963" t="s">
        <v>2074</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t="s">
        <v>2075</v>
      </c>
      <c r="B23" s="2005"/>
      <c r="C23" s="2005"/>
      <c r="D23" s="2005"/>
      <c r="E23" s="2005"/>
      <c r="F23" s="2005"/>
      <c r="G23" s="2005"/>
      <c r="H23" s="2006"/>
      <c r="T23" s="1944">
        <v>66.004384999999999</v>
      </c>
      <c r="U23" s="1945"/>
      <c r="V23" s="1945"/>
      <c r="W23" s="1945"/>
      <c r="X23" s="1960">
        <v>44530</v>
      </c>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62573</v>
      </c>
      <c r="B25" s="1982"/>
      <c r="C25" s="1982"/>
      <c r="D25" s="1982"/>
      <c r="E25" s="1982"/>
      <c r="F25" s="1982"/>
      <c r="G25" s="1982"/>
      <c r="H25" s="1983"/>
      <c r="I25" s="113"/>
      <c r="J25" s="2048"/>
      <c r="K25" s="2048"/>
      <c r="L25" s="2048"/>
      <c r="M25" s="2048"/>
      <c r="N25" s="2048"/>
      <c r="O25" s="2048"/>
      <c r="P25" s="2048"/>
      <c r="Q25" s="2048"/>
      <c r="R25" s="2048"/>
      <c r="S25" s="2049"/>
      <c r="T25" s="1941"/>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2076</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2077</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2078</v>
      </c>
      <c r="B42" s="2031"/>
      <c r="C42" s="2032"/>
      <c r="D42" s="2045" t="s">
        <v>2079</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31" sqref="F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2" colorId="8" zoomScale="110" zoomScaleNormal="110" workbookViewId="0">
      <selection activeCell="F31" sqref="F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2089</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F31" sqref="F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151565643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2.3300000000000001E-2</v>
      </c>
      <c r="E10" s="356" t="s">
        <v>1005</v>
      </c>
      <c r="F10" s="355">
        <v>5.0000000000000001E-3</v>
      </c>
      <c r="G10" s="356" t="s">
        <v>1005</v>
      </c>
      <c r="H10" s="355">
        <v>2E-3</v>
      </c>
      <c r="I10" s="356" t="s">
        <v>1006</v>
      </c>
      <c r="J10" s="1732">
        <f>ROUND(D10+F10+H10,5)</f>
        <v>3.0300000000000001E-2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8011780</v>
      </c>
      <c r="E16" s="356"/>
      <c r="F16" s="1733">
        <f>SUM('Acct Summary 7-8'!C17,'Acct Summary 7-8'!D17,'Acct Summary 7-8'!F17)</f>
        <v>8243620</v>
      </c>
      <c r="G16" s="356"/>
      <c r="H16" s="1733">
        <f>SUM(D16-F16)</f>
        <v>-231840</v>
      </c>
      <c r="I16" s="222"/>
      <c r="J16" s="1733">
        <f>SUM('Acct Summary 7-8'!C81,'Acct Summary 7-8'!D81,'Acct Summary 7-8'!F81,'Acct Summary 7-8'!I81)</f>
        <v>5200696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20916058.734000001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10790000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F31" sqref="F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Warrensburg-Latham CUSD 11</v>
      </c>
      <c r="E7" s="391"/>
      <c r="G7" s="252"/>
      <c r="H7" s="387"/>
      <c r="I7" s="387"/>
      <c r="J7" s="387"/>
      <c r="K7" s="387"/>
      <c r="L7" s="329"/>
      <c r="M7" s="329"/>
      <c r="N7" s="329"/>
      <c r="O7" s="329"/>
      <c r="P7" s="329"/>
    </row>
    <row r="8" spans="1:18" ht="12.75" x14ac:dyDescent="0.2">
      <c r="A8" s="329"/>
      <c r="B8" s="329"/>
      <c r="C8" s="389" t="s">
        <v>1125</v>
      </c>
      <c r="D8" s="392">
        <f>COVER!A13</f>
        <v>39055011026</v>
      </c>
      <c r="E8" s="393"/>
      <c r="G8" s="329"/>
      <c r="H8" s="329"/>
      <c r="I8" s="329"/>
      <c r="J8" s="329"/>
      <c r="K8" s="329"/>
      <c r="L8" s="329"/>
      <c r="M8" s="329"/>
      <c r="N8" s="329"/>
      <c r="O8" s="329"/>
      <c r="P8" s="329"/>
    </row>
    <row r="9" spans="1:18" ht="12.75" x14ac:dyDescent="0.2">
      <c r="A9" s="329"/>
      <c r="B9" s="329"/>
      <c r="C9" s="389" t="s">
        <v>713</v>
      </c>
      <c r="D9" s="394" t="str">
        <f>COVER!A15</f>
        <v>MACON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5200696</v>
      </c>
      <c r="I12" s="404"/>
      <c r="J12" s="404"/>
      <c r="K12" s="405">
        <f>TRUNC((H12/H13*100000),5)/100000</f>
        <v>0.65444527829999999</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7946724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-65056</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8243620</v>
      </c>
      <c r="I17" s="404"/>
      <c r="J17" s="416"/>
      <c r="K17" s="405">
        <f>TRUNC((H17/H18*100000),5)/100000</f>
        <v>1.0373608042</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7946724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-65056</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14.8402929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5200696</v>
      </c>
      <c r="I24" s="422"/>
      <c r="J24" s="422"/>
      <c r="K24" s="423">
        <f>TRUNC(((H24/H25*100000)/100000),2)</f>
        <v>227.11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22898.944439999999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3903573.1354700001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10790000</v>
      </c>
      <c r="I32" s="420"/>
      <c r="J32" s="420"/>
      <c r="K32" s="423">
        <f>TRUNC(100-((((H32/H33*100))*100)/100),2)</f>
        <v>48.41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20916058.734000001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F31" sqref="F31"/>
      <selection pane="bottomLeft" activeCell="F31" sqref="F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201556</v>
      </c>
      <c r="D4" s="466">
        <v>15103</v>
      </c>
      <c r="E4" s="466"/>
      <c r="F4" s="466">
        <v>17534</v>
      </c>
      <c r="G4" s="466">
        <v>7710</v>
      </c>
      <c r="H4" s="466">
        <v>36</v>
      </c>
      <c r="I4" s="466">
        <v>7</v>
      </c>
      <c r="J4" s="467">
        <v>48</v>
      </c>
      <c r="K4" s="466">
        <v>3</v>
      </c>
      <c r="L4" s="466">
        <v>109416</v>
      </c>
      <c r="M4" s="468"/>
      <c r="N4" s="469"/>
    </row>
    <row r="5" spans="1:14" x14ac:dyDescent="0.2">
      <c r="A5" s="463" t="s">
        <v>992</v>
      </c>
      <c r="B5" s="470">
        <v>120</v>
      </c>
      <c r="C5" s="465">
        <v>1431099</v>
      </c>
      <c r="D5" s="466">
        <v>210605</v>
      </c>
      <c r="E5" s="466">
        <v>599242</v>
      </c>
      <c r="F5" s="466">
        <v>643253</v>
      </c>
      <c r="G5" s="466">
        <v>77918</v>
      </c>
      <c r="H5" s="466">
        <v>1433612</v>
      </c>
      <c r="I5" s="466">
        <v>2681539</v>
      </c>
      <c r="J5" s="467">
        <v>151195</v>
      </c>
      <c r="K5" s="471">
        <v>272727</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1632655</v>
      </c>
      <c r="D13" s="1737">
        <f t="shared" ref="D13:L13" si="0">SUM(D4:D12)</f>
        <v>225708</v>
      </c>
      <c r="E13" s="1737">
        <f t="shared" si="0"/>
        <v>599242</v>
      </c>
      <c r="F13" s="1737">
        <f t="shared" si="0"/>
        <v>660787</v>
      </c>
      <c r="G13" s="1737">
        <f t="shared" si="0"/>
        <v>85628</v>
      </c>
      <c r="H13" s="1737">
        <f t="shared" si="0"/>
        <v>1433648</v>
      </c>
      <c r="I13" s="1737">
        <f t="shared" si="0"/>
        <v>2681546</v>
      </c>
      <c r="J13" s="1737">
        <f t="shared" si="0"/>
        <v>151243</v>
      </c>
      <c r="K13" s="1737">
        <f t="shared" si="0"/>
        <v>272730</v>
      </c>
      <c r="L13" s="1737">
        <f t="shared" si="0"/>
        <v>109416</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376107</v>
      </c>
      <c r="N16" s="484"/>
    </row>
    <row r="17" spans="1:14" s="485" customFormat="1" ht="12.75" customHeight="1" x14ac:dyDescent="0.2">
      <c r="A17" s="482" t="s">
        <v>1403</v>
      </c>
      <c r="B17" s="483">
        <v>230</v>
      </c>
      <c r="C17" s="477"/>
      <c r="D17" s="477"/>
      <c r="E17" s="477"/>
      <c r="F17" s="477"/>
      <c r="G17" s="477"/>
      <c r="H17" s="477"/>
      <c r="I17" s="477"/>
      <c r="J17" s="477"/>
      <c r="K17" s="477"/>
      <c r="L17" s="477"/>
      <c r="M17" s="467">
        <v>33551566</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3100371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599242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10190758</v>
      </c>
    </row>
    <row r="23" spans="1:14" ht="13.5" customHeight="1" thickBot="1" x14ac:dyDescent="0.25">
      <c r="A23" s="1736" t="s">
        <v>643</v>
      </c>
      <c r="B23" s="1741"/>
      <c r="C23" s="468"/>
      <c r="D23" s="468"/>
      <c r="E23" s="468"/>
      <c r="F23" s="468"/>
      <c r="G23" s="468"/>
      <c r="H23" s="468"/>
      <c r="I23" s="468"/>
      <c r="J23" s="468"/>
      <c r="K23" s="468"/>
      <c r="L23" s="468"/>
      <c r="M23" s="1688">
        <f>SUM(M15:M22)</f>
        <v>37028044</v>
      </c>
      <c r="N23" s="1688">
        <f>SUM(N21:N22)</f>
        <v>10790000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109416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109416</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10790000</v>
      </c>
    </row>
    <row r="37" spans="1:14" ht="13.5" thickBot="1" x14ac:dyDescent="0.25">
      <c r="A37" s="1736" t="s">
        <v>653</v>
      </c>
      <c r="B37" s="1741"/>
      <c r="C37" s="477"/>
      <c r="D37" s="477"/>
      <c r="E37" s="477"/>
      <c r="F37" s="477"/>
      <c r="G37" s="477"/>
      <c r="H37" s="477"/>
      <c r="I37" s="477"/>
      <c r="J37" s="477"/>
      <c r="K37" s="477"/>
      <c r="L37" s="480"/>
      <c r="M37" s="468"/>
      <c r="N37" s="1688">
        <f>SUM(N36:N36)</f>
        <v>10790000</v>
      </c>
    </row>
    <row r="38" spans="1:14" s="329" customFormat="1" ht="13.5" customHeight="1" thickTop="1" x14ac:dyDescent="0.2">
      <c r="A38" s="496" t="s">
        <v>420</v>
      </c>
      <c r="B38" s="483">
        <v>714</v>
      </c>
      <c r="C38" s="466"/>
      <c r="D38" s="466"/>
      <c r="E38" s="466">
        <v>19604</v>
      </c>
      <c r="F38" s="466"/>
      <c r="G38" s="466"/>
      <c r="H38" s="466"/>
      <c r="I38" s="466"/>
      <c r="J38" s="467"/>
      <c r="K38" s="466"/>
      <c r="L38" s="481"/>
      <c r="M38" s="497"/>
      <c r="N38" s="497"/>
    </row>
    <row r="39" spans="1:14" s="329" customFormat="1" ht="13.5" customHeight="1" x14ac:dyDescent="0.2">
      <c r="A39" s="496" t="s">
        <v>342</v>
      </c>
      <c r="B39" s="483">
        <v>730</v>
      </c>
      <c r="C39" s="466">
        <v>1632655</v>
      </c>
      <c r="D39" s="466">
        <v>225708</v>
      </c>
      <c r="E39" s="466">
        <v>579638</v>
      </c>
      <c r="F39" s="466">
        <v>660787</v>
      </c>
      <c r="G39" s="466">
        <v>85628</v>
      </c>
      <c r="H39" s="466">
        <v>1433648</v>
      </c>
      <c r="I39" s="466">
        <v>2681546</v>
      </c>
      <c r="J39" s="467">
        <v>151243</v>
      </c>
      <c r="K39" s="466">
        <v>272730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37028044</v>
      </c>
      <c r="N40" s="497"/>
    </row>
    <row r="41" spans="1:14" ht="13.5" customHeight="1" thickBot="1" x14ac:dyDescent="0.25">
      <c r="A41" s="1736" t="s">
        <v>655</v>
      </c>
      <c r="B41" s="1706"/>
      <c r="C41" s="1688">
        <f>(SUM(C34,C37,C38,C39))</f>
        <v>1632655</v>
      </c>
      <c r="D41" s="1688">
        <f t="shared" ref="D41:L41" si="2">SUM(D34,D37,D38:D39)</f>
        <v>225708</v>
      </c>
      <c r="E41" s="1688">
        <f t="shared" si="2"/>
        <v>599242</v>
      </c>
      <c r="F41" s="1688">
        <f t="shared" si="2"/>
        <v>660787</v>
      </c>
      <c r="G41" s="1688">
        <f t="shared" si="2"/>
        <v>85628</v>
      </c>
      <c r="H41" s="1688">
        <f t="shared" si="2"/>
        <v>1433648</v>
      </c>
      <c r="I41" s="1688">
        <f t="shared" si="2"/>
        <v>2681546</v>
      </c>
      <c r="J41" s="1688">
        <f t="shared" si="2"/>
        <v>151243</v>
      </c>
      <c r="K41" s="1688">
        <f t="shared" si="2"/>
        <v>272730</v>
      </c>
      <c r="L41" s="1688">
        <f t="shared" si="2"/>
        <v>109416</v>
      </c>
      <c r="M41" s="1688">
        <f>SUM(M40)</f>
        <v>37028044</v>
      </c>
      <c r="N41" s="1688">
        <f>SUM(N37)</f>
        <v>10790000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63" activePane="bottomLeft" state="frozen"/>
      <selection activeCell="F31" sqref="F31"/>
      <selection pane="bottomLeft" activeCell="F31" sqref="F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3844672</v>
      </c>
      <c r="D4" s="1742">
        <f>'Revenues 9-14'!D109</f>
        <v>668347</v>
      </c>
      <c r="E4" s="1742">
        <f>'Revenues 9-14'!E109</f>
        <v>1328007</v>
      </c>
      <c r="F4" s="1742">
        <f>'Revenues 9-14'!F109</f>
        <v>280277</v>
      </c>
      <c r="G4" s="1742">
        <f>'Revenues 9-14'!G109</f>
        <v>208291</v>
      </c>
      <c r="H4" s="1742">
        <f>'Revenues 9-14'!H109</f>
        <v>480619</v>
      </c>
      <c r="I4" s="1742">
        <f>'Revenues 9-14'!I109</f>
        <v>108530</v>
      </c>
      <c r="J4" s="1742">
        <f>'Revenues 9-14'!J109</f>
        <v>416022</v>
      </c>
      <c r="K4" s="1742">
        <f>'Revenues 9-14'!K109</f>
        <v>75293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2311080</v>
      </c>
      <c r="D6" s="1743">
        <f>'Revenues 9-14'!D170</f>
        <v>0</v>
      </c>
      <c r="E6" s="1743">
        <f>'Revenues 9-14'!E170</f>
        <v>0</v>
      </c>
      <c r="F6" s="1743">
        <f>'Revenues 9-14'!F170</f>
        <v>267980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530894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6686646</v>
      </c>
      <c r="D8" s="1688">
        <f t="shared" ref="D8:K8" si="0">SUM(D4:D7)</f>
        <v>668347</v>
      </c>
      <c r="E8" s="1688">
        <f t="shared" si="0"/>
        <v>1328007</v>
      </c>
      <c r="F8" s="1688">
        <f t="shared" si="0"/>
        <v>548257</v>
      </c>
      <c r="G8" s="1688">
        <f t="shared" si="0"/>
        <v>208291</v>
      </c>
      <c r="H8" s="1688">
        <f t="shared" si="0"/>
        <v>480619</v>
      </c>
      <c r="I8" s="1688">
        <f t="shared" si="0"/>
        <v>108530</v>
      </c>
      <c r="J8" s="1688">
        <f t="shared" si="0"/>
        <v>416022</v>
      </c>
      <c r="K8" s="1688">
        <f t="shared" si="0"/>
        <v>75293</v>
      </c>
      <c r="L8" s="347"/>
    </row>
    <row r="9" spans="1:13" ht="15.75" thickTop="1" x14ac:dyDescent="0.2">
      <c r="A9" s="514" t="s">
        <v>1653</v>
      </c>
      <c r="B9" s="515">
        <v>3998</v>
      </c>
      <c r="C9" s="481">
        <v>3259734</v>
      </c>
      <c r="D9" s="516"/>
      <c r="E9" s="481"/>
      <c r="F9" s="481"/>
      <c r="G9" s="517"/>
      <c r="H9" s="481"/>
      <c r="I9" s="509" t="s">
        <v>1169</v>
      </c>
      <c r="J9" s="478"/>
      <c r="K9" s="481"/>
      <c r="L9" s="347"/>
    </row>
    <row r="10" spans="1:13" s="519" customFormat="1" ht="13.5" thickBot="1" x14ac:dyDescent="0.25">
      <c r="A10" s="1736" t="s">
        <v>1173</v>
      </c>
      <c r="B10" s="1709"/>
      <c r="C10" s="1688">
        <f>SUM(C8:C9)</f>
        <v>9946380</v>
      </c>
      <c r="D10" s="1688">
        <f t="shared" ref="D10:K10" si="1">SUM(D8:D9)</f>
        <v>668347</v>
      </c>
      <c r="E10" s="1688">
        <f t="shared" si="1"/>
        <v>1328007</v>
      </c>
      <c r="F10" s="1688">
        <f t="shared" si="1"/>
        <v>548257</v>
      </c>
      <c r="G10" s="1688">
        <f t="shared" si="1"/>
        <v>208291</v>
      </c>
      <c r="H10" s="1688">
        <f t="shared" si="1"/>
        <v>480619</v>
      </c>
      <c r="I10" s="1688">
        <f t="shared" si="1"/>
        <v>108530</v>
      </c>
      <c r="J10" s="1688">
        <f t="shared" si="1"/>
        <v>416022</v>
      </c>
      <c r="K10" s="1688">
        <f t="shared" si="1"/>
        <v>75293</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4720287</v>
      </c>
      <c r="D12" s="520" t="s">
        <v>1169</v>
      </c>
      <c r="E12" s="468" t="s">
        <v>1169</v>
      </c>
      <c r="F12" s="468" t="s">
        <v>1169</v>
      </c>
      <c r="G12" s="1742">
        <f>'Expenditures 15-22'!K229</f>
        <v>68377</v>
      </c>
      <c r="H12" s="521"/>
      <c r="I12" s="468" t="s">
        <v>1169</v>
      </c>
      <c r="J12" s="468" t="s">
        <v>1169</v>
      </c>
      <c r="K12" s="521" t="s">
        <v>1169</v>
      </c>
      <c r="L12" s="347"/>
    </row>
    <row r="13" spans="1:13" ht="15.75" customHeight="1" x14ac:dyDescent="0.2">
      <c r="A13" s="1576" t="s">
        <v>457</v>
      </c>
      <c r="B13" s="1578">
        <v>2000</v>
      </c>
      <c r="C13" s="1743">
        <f>'Expenditures 15-22'!K74</f>
        <v>1875578</v>
      </c>
      <c r="D13" s="1743">
        <f>'Expenditures 15-22'!K129</f>
        <v>746909</v>
      </c>
      <c r="E13" s="469" t="s">
        <v>1169</v>
      </c>
      <c r="F13" s="1743">
        <f>'Expenditures 15-22'!K184</f>
        <v>508379</v>
      </c>
      <c r="G13" s="1743">
        <f>'Expenditures 15-22'!K279</f>
        <v>127610</v>
      </c>
      <c r="H13" s="1743">
        <f>'Expenditures 15-22'!K303</f>
        <v>536658</v>
      </c>
      <c r="I13" s="468" t="s">
        <v>1169</v>
      </c>
      <c r="J13" s="1743">
        <f>'Expenditures 15-22'!K330</f>
        <v>390926</v>
      </c>
      <c r="K13" s="1747">
        <f>'Expenditures 15-22'!K352</f>
        <v>211505</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392467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1391369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6988332</v>
      </c>
      <c r="D17" s="1688">
        <f t="shared" si="2"/>
        <v>746909</v>
      </c>
      <c r="E17" s="1688">
        <f t="shared" si="2"/>
        <v>1391369</v>
      </c>
      <c r="F17" s="1688">
        <f t="shared" si="2"/>
        <v>508379</v>
      </c>
      <c r="G17" s="1688">
        <f t="shared" si="2"/>
        <v>195987</v>
      </c>
      <c r="H17" s="1688">
        <f t="shared" si="2"/>
        <v>536658</v>
      </c>
      <c r="I17" s="468"/>
      <c r="J17" s="1688">
        <f>SUM(J12:J16)</f>
        <v>390926</v>
      </c>
      <c r="K17" s="1688">
        <f>SUM(K12:K16)</f>
        <v>211505</v>
      </c>
      <c r="L17" s="347"/>
    </row>
    <row r="18" spans="1:12" ht="15" customHeight="1" thickTop="1" x14ac:dyDescent="0.2">
      <c r="A18" s="1744" t="s">
        <v>1654</v>
      </c>
      <c r="B18" s="1745">
        <v>4180</v>
      </c>
      <c r="C18" s="1742">
        <f t="shared" ref="C18:H18" si="3">C9</f>
        <v>3259734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10248066</v>
      </c>
      <c r="D19" s="1688">
        <f t="shared" si="4"/>
        <v>746909</v>
      </c>
      <c r="E19" s="1688">
        <f t="shared" si="4"/>
        <v>1391369</v>
      </c>
      <c r="F19" s="1688">
        <f t="shared" si="4"/>
        <v>508379</v>
      </c>
      <c r="G19" s="1688">
        <f t="shared" si="4"/>
        <v>195987</v>
      </c>
      <c r="H19" s="1688">
        <f t="shared" si="4"/>
        <v>536658</v>
      </c>
      <c r="I19" s="468"/>
      <c r="J19" s="1688">
        <f>SUM(J17:J18)</f>
        <v>390926</v>
      </c>
      <c r="K19" s="1688">
        <f>SUM(K17:K18)</f>
        <v>211505</v>
      </c>
      <c r="L19" s="347"/>
    </row>
    <row r="20" spans="1:12" ht="16.5" thickTop="1" thickBot="1" x14ac:dyDescent="0.25">
      <c r="A20" s="2126" t="s">
        <v>1655</v>
      </c>
      <c r="B20" s="2127"/>
      <c r="C20" s="1746">
        <f>C8-C17</f>
        <v>-301686</v>
      </c>
      <c r="D20" s="1746">
        <f t="shared" ref="D20:K20" si="5">D8-D17</f>
        <v>-78562</v>
      </c>
      <c r="E20" s="1746">
        <f t="shared" si="5"/>
        <v>-63362</v>
      </c>
      <c r="F20" s="1746">
        <f t="shared" si="5"/>
        <v>39878</v>
      </c>
      <c r="G20" s="1746">
        <f t="shared" si="5"/>
        <v>12304</v>
      </c>
      <c r="H20" s="1746">
        <f t="shared" si="5"/>
        <v>-56039</v>
      </c>
      <c r="I20" s="1746">
        <f t="shared" si="5"/>
        <v>108530</v>
      </c>
      <c r="J20" s="1746">
        <f t="shared" si="5"/>
        <v>25096</v>
      </c>
      <c r="K20" s="1746">
        <f t="shared" si="5"/>
        <v>-136212</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140000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v>500000</v>
      </c>
      <c r="D27" s="467"/>
      <c r="E27" s="526"/>
      <c r="F27" s="467"/>
      <c r="G27" s="480"/>
      <c r="H27" s="480"/>
      <c r="I27" s="480"/>
      <c r="J27" s="480"/>
      <c r="K27" s="480"/>
      <c r="L27" s="524"/>
    </row>
    <row r="28" spans="1:12" s="485" customFormat="1" ht="13.5" customHeight="1" x14ac:dyDescent="0.2">
      <c r="A28" s="1489" t="s">
        <v>1398</v>
      </c>
      <c r="B28" s="483">
        <v>7140</v>
      </c>
      <c r="C28" s="467">
        <v>18000</v>
      </c>
      <c r="D28" s="467"/>
      <c r="E28" s="467"/>
      <c r="F28" s="467"/>
      <c r="G28" s="467"/>
      <c r="H28" s="467"/>
      <c r="I28" s="467"/>
      <c r="J28" s="467"/>
      <c r="K28" s="467"/>
      <c r="L28" s="524"/>
    </row>
    <row r="29" spans="1:12" s="485" customFormat="1" ht="13.5" customHeight="1" x14ac:dyDescent="0.2">
      <c r="A29" s="1489" t="s">
        <v>294</v>
      </c>
      <c r="B29" s="483">
        <v>7150</v>
      </c>
      <c r="C29" s="475"/>
      <c r="D29" s="467">
        <v>500000</v>
      </c>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1565000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65056</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3">
        <f>SUM(C24:C43)</f>
        <v>658000</v>
      </c>
      <c r="D44" s="1703">
        <f t="shared" ref="D44:K44" si="6">SUM(D24:D43)</f>
        <v>500000</v>
      </c>
      <c r="E44" s="1703">
        <f t="shared" si="6"/>
        <v>65056</v>
      </c>
      <c r="F44" s="1703">
        <f t="shared" si="6"/>
        <v>0</v>
      </c>
      <c r="G44" s="1703">
        <f t="shared" si="6"/>
        <v>0</v>
      </c>
      <c r="H44" s="1703">
        <f t="shared" si="6"/>
        <v>0</v>
      </c>
      <c r="I44" s="1703">
        <f t="shared" si="6"/>
        <v>1565000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140000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v>500000</v>
      </c>
      <c r="E49" s="480"/>
      <c r="F49" s="467"/>
      <c r="G49" s="480"/>
      <c r="H49" s="480"/>
      <c r="I49" s="477"/>
      <c r="J49" s="480"/>
      <c r="K49" s="477"/>
      <c r="L49" s="524"/>
    </row>
    <row r="50" spans="1:12" s="485" customFormat="1" x14ac:dyDescent="0.2">
      <c r="A50" s="1490" t="s">
        <v>1398</v>
      </c>
      <c r="B50" s="483">
        <v>8140</v>
      </c>
      <c r="C50" s="467"/>
      <c r="D50" s="467"/>
      <c r="E50" s="467">
        <v>18000</v>
      </c>
      <c r="F50" s="467"/>
      <c r="G50" s="467"/>
      <c r="H50" s="467"/>
      <c r="I50" s="477"/>
      <c r="J50" s="467"/>
      <c r="K50" s="477"/>
      <c r="L50" s="524"/>
    </row>
    <row r="51" spans="1:12" s="485" customFormat="1" x14ac:dyDescent="0.2">
      <c r="A51" s="1490" t="s">
        <v>294</v>
      </c>
      <c r="B51" s="483">
        <v>8150</v>
      </c>
      <c r="C51" s="475"/>
      <c r="D51" s="475"/>
      <c r="E51" s="475"/>
      <c r="F51" s="475"/>
      <c r="G51" s="475"/>
      <c r="H51" s="1743">
        <f>SUM(D29)</f>
        <v>500000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65056</v>
      </c>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3">
        <f t="shared" ref="C76:K76" si="7">SUM(C47:C75)</f>
        <v>65056</v>
      </c>
      <c r="D76" s="1703">
        <f t="shared" si="7"/>
        <v>500000</v>
      </c>
      <c r="E76" s="1703">
        <f t="shared" si="7"/>
        <v>18000</v>
      </c>
      <c r="F76" s="1703">
        <f t="shared" si="7"/>
        <v>0</v>
      </c>
      <c r="G76" s="1703">
        <f t="shared" si="7"/>
        <v>0</v>
      </c>
      <c r="H76" s="1703">
        <f t="shared" si="7"/>
        <v>500000</v>
      </c>
      <c r="I76" s="1703">
        <f t="shared" si="7"/>
        <v>140000</v>
      </c>
      <c r="J76" s="1703">
        <f t="shared" si="7"/>
        <v>0</v>
      </c>
      <c r="K76" s="1703">
        <f t="shared" si="7"/>
        <v>0</v>
      </c>
      <c r="L76" s="524"/>
    </row>
    <row r="77" spans="1:12" ht="14.25" thickTop="1" thickBot="1" x14ac:dyDescent="0.25">
      <c r="A77" s="2118" t="s">
        <v>1177</v>
      </c>
      <c r="B77" s="2119"/>
      <c r="C77" s="1703">
        <f t="shared" ref="C77:K77" si="8">C44-C76</f>
        <v>592944</v>
      </c>
      <c r="D77" s="1703">
        <f t="shared" si="8"/>
        <v>0</v>
      </c>
      <c r="E77" s="1703">
        <f t="shared" si="8"/>
        <v>47056</v>
      </c>
      <c r="F77" s="1703">
        <f t="shared" si="8"/>
        <v>0</v>
      </c>
      <c r="G77" s="1703">
        <f t="shared" si="8"/>
        <v>0</v>
      </c>
      <c r="H77" s="1703">
        <f t="shared" si="8"/>
        <v>-500000</v>
      </c>
      <c r="I77" s="1703">
        <f t="shared" si="8"/>
        <v>1425000</v>
      </c>
      <c r="J77" s="1703">
        <f t="shared" si="8"/>
        <v>0</v>
      </c>
      <c r="K77" s="1703">
        <f t="shared" si="8"/>
        <v>0</v>
      </c>
      <c r="L77" s="347"/>
    </row>
    <row r="78" spans="1:12" ht="21.75" customHeight="1" thickTop="1" thickBot="1" x14ac:dyDescent="0.25">
      <c r="A78" s="2122" t="s">
        <v>597</v>
      </c>
      <c r="B78" s="2123"/>
      <c r="C78" s="1702">
        <f t="shared" ref="C78:K78" si="9">C20+C77</f>
        <v>291258</v>
      </c>
      <c r="D78" s="1702">
        <f t="shared" si="9"/>
        <v>-78562</v>
      </c>
      <c r="E78" s="1702">
        <f t="shared" si="9"/>
        <v>-16306</v>
      </c>
      <c r="F78" s="1702">
        <f t="shared" si="9"/>
        <v>39878</v>
      </c>
      <c r="G78" s="1702">
        <f t="shared" si="9"/>
        <v>12304</v>
      </c>
      <c r="H78" s="1702">
        <f t="shared" si="9"/>
        <v>-556039</v>
      </c>
      <c r="I78" s="1702">
        <f t="shared" si="9"/>
        <v>1533530</v>
      </c>
      <c r="J78" s="1702">
        <f t="shared" si="9"/>
        <v>25096</v>
      </c>
      <c r="K78" s="1702">
        <f t="shared" si="9"/>
        <v>-136212</v>
      </c>
      <c r="L78" s="533"/>
    </row>
    <row r="79" spans="1:12" ht="13.5" thickTop="1" x14ac:dyDescent="0.2">
      <c r="A79" s="1494" t="s">
        <v>1947</v>
      </c>
      <c r="B79" s="534"/>
      <c r="C79" s="478">
        <v>1341397</v>
      </c>
      <c r="D79" s="535">
        <v>304270</v>
      </c>
      <c r="E79" s="535">
        <v>615548</v>
      </c>
      <c r="F79" s="535">
        <v>620909</v>
      </c>
      <c r="G79" s="535">
        <v>73324</v>
      </c>
      <c r="H79" s="535">
        <v>1989687</v>
      </c>
      <c r="I79" s="535">
        <v>1148016</v>
      </c>
      <c r="J79" s="535">
        <v>126147</v>
      </c>
      <c r="K79" s="535">
        <v>408942</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8">
        <f>(SUM(C78:C80))</f>
        <v>1632655</v>
      </c>
      <c r="D81" s="1688">
        <f>SUM(D78:D80)</f>
        <v>225708</v>
      </c>
      <c r="E81" s="1688">
        <f t="shared" ref="E81:K81" si="10">SUM(E78:E80)</f>
        <v>599242</v>
      </c>
      <c r="F81" s="1688">
        <f t="shared" si="10"/>
        <v>660787</v>
      </c>
      <c r="G81" s="1688">
        <f t="shared" si="10"/>
        <v>85628</v>
      </c>
      <c r="H81" s="1688">
        <f t="shared" si="10"/>
        <v>1433648</v>
      </c>
      <c r="I81" s="1688">
        <f t="shared" si="10"/>
        <v>2681546</v>
      </c>
      <c r="J81" s="1688">
        <f t="shared" si="10"/>
        <v>151243</v>
      </c>
      <c r="K81" s="1688">
        <f t="shared" si="10"/>
        <v>272730</v>
      </c>
      <c r="L81" s="347"/>
    </row>
    <row r="82" spans="1:12" ht="0.75" customHeight="1" thickTop="1" thickBot="1" x14ac:dyDescent="0.25">
      <c r="A82" s="536" t="s">
        <v>343</v>
      </c>
      <c r="B82" s="537"/>
      <c r="C82" s="538">
        <f>(C81-C79)</f>
        <v>291258</v>
      </c>
      <c r="D82" s="538">
        <f t="shared" ref="D82:K82" si="11">(D81-D79)</f>
        <v>-78562</v>
      </c>
      <c r="E82" s="538">
        <f t="shared" si="11"/>
        <v>-16306</v>
      </c>
      <c r="F82" s="538">
        <f t="shared" si="11"/>
        <v>39878</v>
      </c>
      <c r="G82" s="538">
        <f t="shared" si="11"/>
        <v>12304</v>
      </c>
      <c r="H82" s="538">
        <f t="shared" si="11"/>
        <v>-556039</v>
      </c>
      <c r="I82" s="538">
        <f t="shared" si="11"/>
        <v>1533530</v>
      </c>
      <c r="J82" s="538">
        <f t="shared" si="11"/>
        <v>25096</v>
      </c>
      <c r="K82" s="538">
        <f t="shared" si="11"/>
        <v>-136212</v>
      </c>
    </row>
    <row r="83" spans="1:12" ht="14.25" hidden="1" thickTop="1" thickBot="1" x14ac:dyDescent="0.25">
      <c r="A83" s="539" t="s">
        <v>344</v>
      </c>
      <c r="B83" s="464"/>
      <c r="C83" s="540">
        <f>C82/C81</f>
        <v>0.17839531315556562</v>
      </c>
      <c r="D83" s="540">
        <f t="shared" ref="D83:K83" si="12">D82/D81</f>
        <v>-0.34806918673684584</v>
      </c>
      <c r="E83" s="540">
        <f t="shared" si="12"/>
        <v>-2.7211043284682983E-2</v>
      </c>
      <c r="F83" s="540">
        <f t="shared" si="12"/>
        <v>6.0349250212246915E-2</v>
      </c>
      <c r="G83" s="540">
        <f t="shared" si="12"/>
        <v>0.14369131592469753</v>
      </c>
      <c r="H83" s="540">
        <f t="shared" si="12"/>
        <v>-0.38784903965269019</v>
      </c>
      <c r="I83" s="540">
        <f t="shared" si="12"/>
        <v>0.57188278701912998</v>
      </c>
      <c r="J83" s="540">
        <f t="shared" si="12"/>
        <v>0.16593164642330555</v>
      </c>
      <c r="K83" s="540">
        <f t="shared" si="12"/>
        <v>-0.49943900560994392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6" activePane="bottomLeft" state="frozen"/>
      <selection activeCell="F31" sqref="F31"/>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3031608</v>
      </c>
      <c r="D5" s="481">
        <v>650560</v>
      </c>
      <c r="E5" s="466">
        <v>1166164</v>
      </c>
      <c r="F5" s="548">
        <v>260224</v>
      </c>
      <c r="G5" s="466">
        <v>59760</v>
      </c>
      <c r="H5" s="466"/>
      <c r="I5" s="466">
        <v>65056</v>
      </c>
      <c r="J5" s="467">
        <v>409228</v>
      </c>
      <c r="K5" s="466">
        <v>65056</v>
      </c>
    </row>
    <row r="6" spans="1:12" ht="15" x14ac:dyDescent="0.2">
      <c r="A6" s="463" t="s">
        <v>1662</v>
      </c>
      <c r="B6" s="470">
        <v>1130</v>
      </c>
      <c r="C6" s="466">
        <v>65056</v>
      </c>
      <c r="D6" s="466"/>
      <c r="E6" s="475"/>
      <c r="F6" s="475"/>
      <c r="G6" s="468"/>
      <c r="H6" s="468"/>
      <c r="I6" s="468"/>
      <c r="J6" s="468"/>
      <c r="K6" s="468"/>
    </row>
    <row r="7" spans="1:12" x14ac:dyDescent="0.2">
      <c r="A7" s="463" t="s">
        <v>110</v>
      </c>
      <c r="B7" s="549">
        <v>1140</v>
      </c>
      <c r="C7" s="466">
        <v>52045</v>
      </c>
      <c r="D7" s="466"/>
      <c r="E7" s="468"/>
      <c r="F7" s="467"/>
      <c r="G7" s="467"/>
      <c r="H7" s="467"/>
      <c r="I7" s="468"/>
      <c r="J7" s="468"/>
      <c r="K7" s="468"/>
    </row>
    <row r="8" spans="1:12" x14ac:dyDescent="0.2">
      <c r="A8" s="463" t="s">
        <v>413</v>
      </c>
      <c r="B8" s="470">
        <v>1150</v>
      </c>
      <c r="C8" s="475"/>
      <c r="D8" s="475"/>
      <c r="E8" s="477"/>
      <c r="F8" s="477"/>
      <c r="G8" s="481">
        <v>137177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3148709</v>
      </c>
      <c r="D12" s="1707">
        <f t="shared" si="0"/>
        <v>650560</v>
      </c>
      <c r="E12" s="1707">
        <f t="shared" si="0"/>
        <v>1166164</v>
      </c>
      <c r="F12" s="1707">
        <f t="shared" si="0"/>
        <v>260224</v>
      </c>
      <c r="G12" s="1707">
        <f t="shared" si="0"/>
        <v>196937</v>
      </c>
      <c r="H12" s="1707">
        <f t="shared" si="0"/>
        <v>0</v>
      </c>
      <c r="I12" s="1707">
        <f t="shared" si="0"/>
        <v>65056</v>
      </c>
      <c r="J12" s="1707">
        <f t="shared" si="0"/>
        <v>409228</v>
      </c>
      <c r="K12" s="1688">
        <f t="shared" si="0"/>
        <v>65056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100</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136820</v>
      </c>
      <c r="D16" s="466"/>
      <c r="E16" s="466"/>
      <c r="F16" s="466"/>
      <c r="G16" s="466">
        <v>8000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136920</v>
      </c>
      <c r="D18" s="1710">
        <f t="shared" ref="D18:K18" si="1">SUM(D14:D17)</f>
        <v>0</v>
      </c>
      <c r="E18" s="1710">
        <f t="shared" si="1"/>
        <v>0</v>
      </c>
      <c r="F18" s="1710">
        <f t="shared" si="1"/>
        <v>0</v>
      </c>
      <c r="G18" s="1710">
        <f t="shared" si="1"/>
        <v>8000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8732</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2375</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11107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4563</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4563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52719</v>
      </c>
      <c r="D65" s="466">
        <v>11437</v>
      </c>
      <c r="E65" s="466">
        <v>20401</v>
      </c>
      <c r="F65" s="467">
        <v>15110</v>
      </c>
      <c r="G65" s="466">
        <v>3354</v>
      </c>
      <c r="H65" s="466">
        <v>42504</v>
      </c>
      <c r="I65" s="466">
        <v>43474</v>
      </c>
      <c r="J65" s="467">
        <v>6794</v>
      </c>
      <c r="K65" s="466">
        <v>10237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52719</v>
      </c>
      <c r="D67" s="1688">
        <f t="shared" ref="D67:K67" si="2">SUM(D65:D66)</f>
        <v>11437</v>
      </c>
      <c r="E67" s="1688">
        <f t="shared" si="2"/>
        <v>20401</v>
      </c>
      <c r="F67" s="1688">
        <f t="shared" si="2"/>
        <v>15110</v>
      </c>
      <c r="G67" s="1688">
        <f t="shared" si="2"/>
        <v>3354</v>
      </c>
      <c r="H67" s="1688">
        <f t="shared" si="2"/>
        <v>42504</v>
      </c>
      <c r="I67" s="1688">
        <f t="shared" si="2"/>
        <v>43474</v>
      </c>
      <c r="J67" s="1688">
        <f t="shared" si="2"/>
        <v>6794</v>
      </c>
      <c r="K67" s="1688">
        <f t="shared" si="2"/>
        <v>10237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132879</v>
      </c>
      <c r="D69" s="468"/>
      <c r="E69" s="468"/>
      <c r="F69" s="468"/>
      <c r="G69" s="468"/>
      <c r="H69" s="468"/>
      <c r="I69" s="468"/>
      <c r="J69" s="468"/>
      <c r="K69" s="468"/>
    </row>
    <row r="70" spans="1:11" ht="12.75" customHeight="1" x14ac:dyDescent="0.2">
      <c r="A70" s="463" t="s">
        <v>997</v>
      </c>
      <c r="B70" s="470">
        <v>1612</v>
      </c>
      <c r="C70" s="551">
        <v>10329</v>
      </c>
      <c r="D70" s="468"/>
      <c r="E70" s="468"/>
      <c r="F70" s="468"/>
      <c r="G70" s="468"/>
      <c r="H70" s="468"/>
      <c r="I70" s="468"/>
      <c r="J70" s="468"/>
      <c r="K70" s="468"/>
    </row>
    <row r="71" spans="1:11" ht="12.75" customHeight="1" x14ac:dyDescent="0.2">
      <c r="A71" s="463" t="s">
        <v>273</v>
      </c>
      <c r="B71" s="470">
        <v>1613</v>
      </c>
      <c r="C71" s="551">
        <v>131972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4205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279385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28245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22336</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50581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70024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10</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70034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16318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141442</v>
      </c>
      <c r="F103" s="468"/>
      <c r="G103" s="468"/>
      <c r="H103" s="489">
        <v>438115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78899</v>
      </c>
      <c r="D107" s="466">
        <v>6350</v>
      </c>
      <c r="E107" s="466"/>
      <c r="F107" s="466">
        <v>380</v>
      </c>
      <c r="G107" s="466"/>
      <c r="H107" s="466"/>
      <c r="I107" s="466"/>
      <c r="J107" s="467"/>
      <c r="K107" s="466"/>
    </row>
    <row r="108" spans="1:12" ht="12.75" customHeight="1" thickBot="1" x14ac:dyDescent="0.25">
      <c r="A108" s="1708" t="s">
        <v>487</v>
      </c>
      <c r="B108" s="1712"/>
      <c r="C108" s="1707">
        <f>SUM(C95:C107)</f>
        <v>95217</v>
      </c>
      <c r="D108" s="1707">
        <f t="shared" ref="D108:K108" si="3">SUM(D95:D107)</f>
        <v>6350</v>
      </c>
      <c r="E108" s="1707">
        <f t="shared" si="3"/>
        <v>141442</v>
      </c>
      <c r="F108" s="1707">
        <f t="shared" si="3"/>
        <v>380</v>
      </c>
      <c r="G108" s="1707">
        <f t="shared" si="3"/>
        <v>0</v>
      </c>
      <c r="H108" s="1707">
        <f t="shared" si="3"/>
        <v>438115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3844672</v>
      </c>
      <c r="D109" s="1715">
        <f t="shared" si="4"/>
        <v>668347</v>
      </c>
      <c r="E109" s="1715">
        <f t="shared" si="4"/>
        <v>1328007</v>
      </c>
      <c r="F109" s="1715">
        <f t="shared" si="4"/>
        <v>280277</v>
      </c>
      <c r="G109" s="1715">
        <f t="shared" si="4"/>
        <v>208291</v>
      </c>
      <c r="H109" s="1715">
        <f t="shared" si="4"/>
        <v>480619</v>
      </c>
      <c r="I109" s="1715">
        <f t="shared" si="4"/>
        <v>108530</v>
      </c>
      <c r="J109" s="1715">
        <f t="shared" si="4"/>
        <v>416022</v>
      </c>
      <c r="K109" s="1702">
        <f t="shared" si="4"/>
        <v>75293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2030478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2030478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39194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39194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29495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29495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3098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14998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176304</v>
      </c>
      <c r="G152" s="467"/>
      <c r="H152" s="468"/>
      <c r="I152" s="468"/>
      <c r="J152" s="468"/>
      <c r="K152" s="468"/>
    </row>
    <row r="153" spans="1:11" ht="12.75" customHeight="1" x14ac:dyDescent="0.2">
      <c r="A153" s="463" t="s">
        <v>1057</v>
      </c>
      <c r="B153" s="562">
        <v>3510</v>
      </c>
      <c r="C153" s="551"/>
      <c r="D153" s="466"/>
      <c r="E153" s="561"/>
      <c r="F153" s="466">
        <v>91676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267980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191447</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2370</v>
      </c>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280602</v>
      </c>
      <c r="D169" s="1722">
        <f t="shared" si="6"/>
        <v>0</v>
      </c>
      <c r="E169" s="1722">
        <f t="shared" si="6"/>
        <v>0</v>
      </c>
      <c r="F169" s="1722">
        <f t="shared" si="6"/>
        <v>267980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2311080</v>
      </c>
      <c r="D170" s="1715">
        <f t="shared" si="7"/>
        <v>0</v>
      </c>
      <c r="E170" s="1715">
        <f t="shared" si="7"/>
        <v>0</v>
      </c>
      <c r="F170" s="1715">
        <f t="shared" si="7"/>
        <v>267980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153505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36298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189803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156417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156417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9402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9402</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7706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135432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143138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24622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7512</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530894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530894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6686646</v>
      </c>
      <c r="D268" s="1715">
        <f t="shared" si="12"/>
        <v>668347</v>
      </c>
      <c r="E268" s="1715">
        <f t="shared" si="12"/>
        <v>1328007</v>
      </c>
      <c r="F268" s="1715">
        <f t="shared" si="12"/>
        <v>548257</v>
      </c>
      <c r="G268" s="1715">
        <f t="shared" si="12"/>
        <v>208291</v>
      </c>
      <c r="H268" s="1715">
        <f t="shared" si="12"/>
        <v>480619</v>
      </c>
      <c r="I268" s="1715">
        <f t="shared" si="12"/>
        <v>108530</v>
      </c>
      <c r="J268" s="1715">
        <f t="shared" si="12"/>
        <v>416022</v>
      </c>
      <c r="K268" s="1702">
        <f t="shared" si="12"/>
        <v>75293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48" activePane="bottomLeft" state="frozen"/>
      <selection activeCell="F31" sqref="F31"/>
      <selection pane="bottomLeft" activeCell="F31" sqref="F3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3149065</v>
      </c>
      <c r="D5" s="466">
        <v>559668</v>
      </c>
      <c r="E5" s="466">
        <v>16368</v>
      </c>
      <c r="F5" s="466">
        <v>86479</v>
      </c>
      <c r="G5" s="466"/>
      <c r="H5" s="466"/>
      <c r="I5" s="467"/>
      <c r="J5" s="467"/>
      <c r="K5" s="1671">
        <f>SUM(C5:J5)</f>
        <v>3811580</v>
      </c>
      <c r="L5" s="466">
        <v>3949674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125089</v>
      </c>
      <c r="D7" s="467">
        <v>13660</v>
      </c>
      <c r="E7" s="467">
        <v>4978</v>
      </c>
      <c r="F7" s="467">
        <v>22596</v>
      </c>
      <c r="G7" s="467">
        <v>7902</v>
      </c>
      <c r="H7" s="467"/>
      <c r="I7" s="467"/>
      <c r="J7" s="467"/>
      <c r="K7" s="1671">
        <f t="shared" ref="K7:K32" si="0">SUM(C7:J7)</f>
        <v>174225</v>
      </c>
      <c r="L7" s="466"/>
    </row>
    <row r="8" spans="1:14" x14ac:dyDescent="0.2">
      <c r="A8" s="1504" t="s">
        <v>164</v>
      </c>
      <c r="B8" s="614">
        <v>1200</v>
      </c>
      <c r="C8" s="466">
        <v>234729</v>
      </c>
      <c r="D8" s="466">
        <v>32928</v>
      </c>
      <c r="E8" s="466">
        <v>9961</v>
      </c>
      <c r="F8" s="466">
        <v>13982</v>
      </c>
      <c r="G8" s="466">
        <v>8526</v>
      </c>
      <c r="H8" s="466"/>
      <c r="I8" s="467"/>
      <c r="J8" s="467"/>
      <c r="K8" s="1671">
        <f t="shared" si="0"/>
        <v>300126</v>
      </c>
      <c r="L8" s="466">
        <v>479973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97538</v>
      </c>
      <c r="D10" s="466">
        <v>20228</v>
      </c>
      <c r="E10" s="466">
        <v>32344</v>
      </c>
      <c r="F10" s="466">
        <v>54280</v>
      </c>
      <c r="G10" s="466"/>
      <c r="H10" s="466">
        <v>1039</v>
      </c>
      <c r="I10" s="467"/>
      <c r="J10" s="467"/>
      <c r="K10" s="1671">
        <f t="shared" si="0"/>
        <v>205429</v>
      </c>
      <c r="L10" s="466">
        <v>246540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v>598</v>
      </c>
      <c r="G13" s="466"/>
      <c r="H13" s="466"/>
      <c r="I13" s="467"/>
      <c r="J13" s="467"/>
      <c r="K13" s="1671">
        <f t="shared" si="0"/>
        <v>598</v>
      </c>
      <c r="L13" s="466">
        <v>1000</v>
      </c>
    </row>
    <row r="14" spans="1:14" x14ac:dyDescent="0.2">
      <c r="A14" s="1504" t="s">
        <v>963</v>
      </c>
      <c r="B14" s="614">
        <v>1500</v>
      </c>
      <c r="C14" s="466">
        <v>107464</v>
      </c>
      <c r="D14" s="466">
        <v>6643</v>
      </c>
      <c r="E14" s="466">
        <v>31099</v>
      </c>
      <c r="F14" s="466">
        <v>13062</v>
      </c>
      <c r="G14" s="466"/>
      <c r="H14" s="466">
        <v>7941</v>
      </c>
      <c r="I14" s="467"/>
      <c r="J14" s="467"/>
      <c r="K14" s="1671">
        <f t="shared" si="0"/>
        <v>166209</v>
      </c>
      <c r="L14" s="466">
        <v>190000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40262</v>
      </c>
      <c r="D17" s="467">
        <v>5403</v>
      </c>
      <c r="E17" s="467">
        <v>735</v>
      </c>
      <c r="F17" s="467"/>
      <c r="G17" s="467"/>
      <c r="H17" s="467"/>
      <c r="I17" s="467"/>
      <c r="J17" s="467"/>
      <c r="K17" s="1671">
        <f t="shared" si="0"/>
        <v>46400</v>
      </c>
      <c r="L17" s="466">
        <v>52277</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v>15720</v>
      </c>
      <c r="I19" s="467"/>
      <c r="J19" s="467"/>
      <c r="K19" s="1671">
        <f t="shared" si="0"/>
        <v>15720</v>
      </c>
      <c r="L19" s="466">
        <v>9000</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3754147</v>
      </c>
      <c r="D33" s="1670">
        <f t="shared" ref="D33:L33" si="1">SUM(D5:D32)</f>
        <v>638530</v>
      </c>
      <c r="E33" s="1670">
        <f t="shared" si="1"/>
        <v>95485</v>
      </c>
      <c r="F33" s="1670">
        <f t="shared" si="1"/>
        <v>190997</v>
      </c>
      <c r="G33" s="1670">
        <f t="shared" si="1"/>
        <v>16428</v>
      </c>
      <c r="H33" s="1670">
        <f t="shared" si="1"/>
        <v>24700</v>
      </c>
      <c r="I33" s="1670">
        <f t="shared" si="1"/>
        <v>0</v>
      </c>
      <c r="J33" s="1670">
        <f t="shared" si="1"/>
        <v>0</v>
      </c>
      <c r="K33" s="1670">
        <f t="shared" si="1"/>
        <v>4720287</v>
      </c>
      <c r="L33" s="1670">
        <f t="shared" si="1"/>
        <v>4928464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69674</v>
      </c>
    </row>
    <row r="37" spans="1:14" x14ac:dyDescent="0.2">
      <c r="A37" s="1504" t="s">
        <v>1090</v>
      </c>
      <c r="B37" s="614">
        <v>2120</v>
      </c>
      <c r="C37" s="466">
        <v>79167</v>
      </c>
      <c r="D37" s="466">
        <v>6784</v>
      </c>
      <c r="E37" s="466"/>
      <c r="F37" s="466"/>
      <c r="G37" s="466"/>
      <c r="H37" s="466"/>
      <c r="I37" s="467"/>
      <c r="J37" s="467"/>
      <c r="K37" s="1671">
        <f t="shared" si="2"/>
        <v>85951</v>
      </c>
      <c r="L37" s="466">
        <v>86274</v>
      </c>
    </row>
    <row r="38" spans="1:14" x14ac:dyDescent="0.2">
      <c r="A38" s="1504" t="s">
        <v>198</v>
      </c>
      <c r="B38" s="614">
        <v>2130</v>
      </c>
      <c r="C38" s="466"/>
      <c r="D38" s="466"/>
      <c r="E38" s="466"/>
      <c r="F38" s="466"/>
      <c r="G38" s="466"/>
      <c r="H38" s="466"/>
      <c r="I38" s="467"/>
      <c r="J38" s="467"/>
      <c r="K38" s="1671">
        <f t="shared" si="2"/>
        <v>0</v>
      </c>
      <c r="L38" s="466">
        <v>21590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50993</v>
      </c>
      <c r="D40" s="466">
        <v>6298</v>
      </c>
      <c r="E40" s="466"/>
      <c r="F40" s="466"/>
      <c r="G40" s="466"/>
      <c r="H40" s="466"/>
      <c r="I40" s="467"/>
      <c r="J40" s="467"/>
      <c r="K40" s="1671">
        <f t="shared" si="2"/>
        <v>57291</v>
      </c>
      <c r="L40" s="466">
        <v>57597</v>
      </c>
    </row>
    <row r="41" spans="1:14" x14ac:dyDescent="0.2">
      <c r="A41" s="1504" t="s">
        <v>1669</v>
      </c>
      <c r="B41" s="614">
        <v>2190</v>
      </c>
      <c r="C41" s="466">
        <v>3744</v>
      </c>
      <c r="D41" s="466"/>
      <c r="E41" s="466"/>
      <c r="F41" s="466"/>
      <c r="G41" s="466"/>
      <c r="H41" s="466"/>
      <c r="I41" s="467"/>
      <c r="J41" s="467"/>
      <c r="K41" s="1671">
        <f t="shared" si="2"/>
        <v>3744</v>
      </c>
      <c r="L41" s="466">
        <v>4120</v>
      </c>
    </row>
    <row r="42" spans="1:14" ht="12.75" customHeight="1" thickBot="1" x14ac:dyDescent="0.25">
      <c r="A42" s="1668" t="s">
        <v>560</v>
      </c>
      <c r="B42" s="1669" t="s">
        <v>716</v>
      </c>
      <c r="C42" s="1670">
        <f>SUM(C36:C41)</f>
        <v>133904</v>
      </c>
      <c r="D42" s="1670">
        <f t="shared" ref="D42:L42" si="3">SUM(D36:D41)</f>
        <v>13082</v>
      </c>
      <c r="E42" s="1670">
        <f t="shared" si="3"/>
        <v>0</v>
      </c>
      <c r="F42" s="1670">
        <f t="shared" si="3"/>
        <v>0</v>
      </c>
      <c r="G42" s="1670">
        <f t="shared" si="3"/>
        <v>0</v>
      </c>
      <c r="H42" s="1670">
        <f t="shared" si="3"/>
        <v>0</v>
      </c>
      <c r="I42" s="1670">
        <f t="shared" si="3"/>
        <v>0</v>
      </c>
      <c r="J42" s="1670">
        <f t="shared" si="3"/>
        <v>0</v>
      </c>
      <c r="K42" s="1670">
        <f t="shared" si="3"/>
        <v>146986</v>
      </c>
      <c r="L42" s="1670">
        <f t="shared" si="3"/>
        <v>239255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65609</v>
      </c>
      <c r="D44" s="481">
        <v>12167</v>
      </c>
      <c r="E44" s="481">
        <v>23948</v>
      </c>
      <c r="F44" s="481">
        <v>43126</v>
      </c>
      <c r="G44" s="481"/>
      <c r="H44" s="481"/>
      <c r="I44" s="467"/>
      <c r="J44" s="467"/>
      <c r="K44" s="1672">
        <f>SUM(C44:J44)</f>
        <v>144850</v>
      </c>
      <c r="L44" s="481">
        <v>62130</v>
      </c>
    </row>
    <row r="45" spans="1:14" x14ac:dyDescent="0.2">
      <c r="A45" s="1504" t="s">
        <v>815</v>
      </c>
      <c r="B45" s="614">
        <v>2220</v>
      </c>
      <c r="C45" s="466">
        <v>64977</v>
      </c>
      <c r="D45" s="466">
        <v>13139</v>
      </c>
      <c r="E45" s="466">
        <v>4423</v>
      </c>
      <c r="F45" s="466">
        <v>12124</v>
      </c>
      <c r="G45" s="466">
        <v>1834</v>
      </c>
      <c r="H45" s="466"/>
      <c r="I45" s="467"/>
      <c r="J45" s="467"/>
      <c r="K45" s="1672">
        <f>SUM(C45:J45)</f>
        <v>96497</v>
      </c>
      <c r="L45" s="466">
        <v>98047</v>
      </c>
    </row>
    <row r="46" spans="1:14" x14ac:dyDescent="0.2">
      <c r="A46" s="1504" t="s">
        <v>816</v>
      </c>
      <c r="B46" s="614">
        <v>2230</v>
      </c>
      <c r="C46" s="466"/>
      <c r="D46" s="466"/>
      <c r="E46" s="466">
        <v>2925</v>
      </c>
      <c r="F46" s="466"/>
      <c r="G46" s="466"/>
      <c r="H46" s="466"/>
      <c r="I46" s="467"/>
      <c r="J46" s="467"/>
      <c r="K46" s="1672">
        <f>SUM(C46:J46)</f>
        <v>2925</v>
      </c>
      <c r="L46" s="466">
        <v>2925</v>
      </c>
    </row>
    <row r="47" spans="1:14" ht="12.75" customHeight="1" thickBot="1" x14ac:dyDescent="0.25">
      <c r="A47" s="1668" t="s">
        <v>561</v>
      </c>
      <c r="B47" s="1669" t="s">
        <v>32</v>
      </c>
      <c r="C47" s="1670">
        <f>SUM(C44:C46)</f>
        <v>130586</v>
      </c>
      <c r="D47" s="1670">
        <f t="shared" ref="D47:K47" si="4">SUM(D44:D46)</f>
        <v>25306</v>
      </c>
      <c r="E47" s="1670">
        <f t="shared" si="4"/>
        <v>31296</v>
      </c>
      <c r="F47" s="1670">
        <f t="shared" si="4"/>
        <v>55250</v>
      </c>
      <c r="G47" s="1670">
        <f t="shared" si="4"/>
        <v>1834</v>
      </c>
      <c r="H47" s="1670">
        <f t="shared" si="4"/>
        <v>0</v>
      </c>
      <c r="I47" s="1670">
        <f t="shared" si="4"/>
        <v>0</v>
      </c>
      <c r="J47" s="1670">
        <f t="shared" si="4"/>
        <v>0</v>
      </c>
      <c r="K47" s="1670">
        <f t="shared" si="4"/>
        <v>244272</v>
      </c>
      <c r="L47" s="1670">
        <f>SUM(L44:L46)</f>
        <v>163102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3616</v>
      </c>
      <c r="E49" s="481">
        <v>69850</v>
      </c>
      <c r="F49" s="481"/>
      <c r="G49" s="481"/>
      <c r="H49" s="481"/>
      <c r="I49" s="467"/>
      <c r="J49" s="467"/>
      <c r="K49" s="1672">
        <f>SUM(C49:J49)</f>
        <v>73466</v>
      </c>
      <c r="L49" s="481">
        <v>74116</v>
      </c>
    </row>
    <row r="50" spans="1:14" x14ac:dyDescent="0.2">
      <c r="A50" s="1504" t="s">
        <v>818</v>
      </c>
      <c r="B50" s="614">
        <v>2320</v>
      </c>
      <c r="C50" s="466">
        <v>119003</v>
      </c>
      <c r="D50" s="466">
        <v>22508</v>
      </c>
      <c r="E50" s="466">
        <v>1500</v>
      </c>
      <c r="F50" s="466"/>
      <c r="G50" s="466"/>
      <c r="H50" s="466"/>
      <c r="I50" s="467"/>
      <c r="J50" s="467"/>
      <c r="K50" s="1672">
        <f>SUM(C50:J50)</f>
        <v>143011</v>
      </c>
      <c r="L50" s="466">
        <v>143105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119003</v>
      </c>
      <c r="D53" s="1670">
        <f t="shared" ref="D53:L53" si="5">SUM(D49:D52)</f>
        <v>26124</v>
      </c>
      <c r="E53" s="1670">
        <f t="shared" si="5"/>
        <v>71350</v>
      </c>
      <c r="F53" s="1670">
        <f t="shared" si="5"/>
        <v>0</v>
      </c>
      <c r="G53" s="1670">
        <f t="shared" si="5"/>
        <v>0</v>
      </c>
      <c r="H53" s="1670">
        <f t="shared" si="5"/>
        <v>0</v>
      </c>
      <c r="I53" s="1670">
        <f t="shared" si="5"/>
        <v>0</v>
      </c>
      <c r="J53" s="1670">
        <f t="shared" si="5"/>
        <v>0</v>
      </c>
      <c r="K53" s="1670">
        <f t="shared" si="5"/>
        <v>216477</v>
      </c>
      <c r="L53" s="1670">
        <f t="shared" si="5"/>
        <v>217221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483488</v>
      </c>
      <c r="D55" s="481">
        <v>100813</v>
      </c>
      <c r="E55" s="481"/>
      <c r="F55" s="481"/>
      <c r="G55" s="481"/>
      <c r="H55" s="481"/>
      <c r="I55" s="467"/>
      <c r="J55" s="467"/>
      <c r="K55" s="1672">
        <f>SUM(C55:J55)</f>
        <v>584301</v>
      </c>
      <c r="L55" s="481">
        <v>590195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483488</v>
      </c>
      <c r="D57" s="1674">
        <f t="shared" ref="D57:K57" si="6">SUM(D55:D56)</f>
        <v>100813</v>
      </c>
      <c r="E57" s="1674">
        <f t="shared" si="6"/>
        <v>0</v>
      </c>
      <c r="F57" s="1674">
        <f t="shared" si="6"/>
        <v>0</v>
      </c>
      <c r="G57" s="1674">
        <f t="shared" si="6"/>
        <v>0</v>
      </c>
      <c r="H57" s="1674">
        <f t="shared" si="6"/>
        <v>0</v>
      </c>
      <c r="I57" s="1674">
        <f t="shared" si="6"/>
        <v>0</v>
      </c>
      <c r="J57" s="1674">
        <f t="shared" si="6"/>
        <v>0</v>
      </c>
      <c r="K57" s="1674">
        <f t="shared" si="6"/>
        <v>584301</v>
      </c>
      <c r="L57" s="1670">
        <f>SUM(L55:L56)</f>
        <v>590195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118038</v>
      </c>
      <c r="D60" s="466">
        <v>15450</v>
      </c>
      <c r="E60" s="466"/>
      <c r="F60" s="466">
        <v>3628</v>
      </c>
      <c r="G60" s="466"/>
      <c r="H60" s="466"/>
      <c r="I60" s="467"/>
      <c r="J60" s="467"/>
      <c r="K60" s="1672">
        <f t="shared" si="7"/>
        <v>137116</v>
      </c>
      <c r="L60" s="466">
        <v>141476</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91346</v>
      </c>
      <c r="D63" s="466">
        <v>14510</v>
      </c>
      <c r="E63" s="466">
        <v>789</v>
      </c>
      <c r="F63" s="466">
        <v>282296</v>
      </c>
      <c r="G63" s="466"/>
      <c r="H63" s="466"/>
      <c r="I63" s="467"/>
      <c r="J63" s="467"/>
      <c r="K63" s="1672">
        <f t="shared" si="7"/>
        <v>388941</v>
      </c>
      <c r="L63" s="466">
        <v>420724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209384</v>
      </c>
      <c r="D65" s="1670">
        <f t="shared" ref="D65:L65" si="8">SUM(D59:D64)</f>
        <v>29960</v>
      </c>
      <c r="E65" s="1670">
        <f t="shared" si="8"/>
        <v>789</v>
      </c>
      <c r="F65" s="1670">
        <f t="shared" si="8"/>
        <v>285924</v>
      </c>
      <c r="G65" s="1670">
        <f t="shared" si="8"/>
        <v>0</v>
      </c>
      <c r="H65" s="1670">
        <f t="shared" si="8"/>
        <v>0</v>
      </c>
      <c r="I65" s="1670">
        <f t="shared" si="8"/>
        <v>0</v>
      </c>
      <c r="J65" s="1670">
        <f t="shared" si="8"/>
        <v>0</v>
      </c>
      <c r="K65" s="1670">
        <f t="shared" si="8"/>
        <v>526057</v>
      </c>
      <c r="L65" s="1670">
        <f t="shared" si="8"/>
        <v>562200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85538</v>
      </c>
      <c r="F71" s="466">
        <v>29521</v>
      </c>
      <c r="G71" s="466">
        <v>42426</v>
      </c>
      <c r="H71" s="466"/>
      <c r="I71" s="467"/>
      <c r="J71" s="467"/>
      <c r="K71" s="1672">
        <f>SUM(C71:J71)</f>
        <v>157485</v>
      </c>
      <c r="L71" s="466">
        <v>164574</v>
      </c>
      <c r="M71" s="609"/>
      <c r="N71" s="609"/>
    </row>
    <row r="72" spans="1:14" s="343" customFormat="1" ht="12.75" customHeight="1" thickBot="1" x14ac:dyDescent="0.25">
      <c r="A72" s="1668" t="s">
        <v>37</v>
      </c>
      <c r="B72" s="1675" t="s">
        <v>36</v>
      </c>
      <c r="C72" s="1670">
        <f>SUM(C67:C71)</f>
        <v>0</v>
      </c>
      <c r="D72" s="1670">
        <f t="shared" ref="D72:K72" si="9">SUM(D67:D71)</f>
        <v>0</v>
      </c>
      <c r="E72" s="1670">
        <f t="shared" si="9"/>
        <v>85538</v>
      </c>
      <c r="F72" s="1670">
        <f t="shared" si="9"/>
        <v>29521</v>
      </c>
      <c r="G72" s="1670">
        <f t="shared" si="9"/>
        <v>42426</v>
      </c>
      <c r="H72" s="1670">
        <f t="shared" si="9"/>
        <v>0</v>
      </c>
      <c r="I72" s="1670">
        <f t="shared" si="9"/>
        <v>0</v>
      </c>
      <c r="J72" s="1670">
        <f t="shared" si="9"/>
        <v>0</v>
      </c>
      <c r="K72" s="1670">
        <f t="shared" si="9"/>
        <v>157485</v>
      </c>
      <c r="L72" s="1670">
        <f>SUM(L67:L71)</f>
        <v>164574</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1076365</v>
      </c>
      <c r="D74" s="1677">
        <f t="shared" ref="D74:K74" si="10">SUM(D42,D47,D53,D57,D65,D72,D73)</f>
        <v>195285</v>
      </c>
      <c r="E74" s="1677">
        <f t="shared" si="10"/>
        <v>188973</v>
      </c>
      <c r="F74" s="1677">
        <f t="shared" si="10"/>
        <v>370695</v>
      </c>
      <c r="G74" s="1677">
        <f t="shared" si="10"/>
        <v>44260</v>
      </c>
      <c r="H74" s="1677">
        <f t="shared" si="10"/>
        <v>0</v>
      </c>
      <c r="I74" s="1677">
        <f t="shared" si="10"/>
        <v>0</v>
      </c>
      <c r="J74" s="1677">
        <f t="shared" si="10"/>
        <v>0</v>
      </c>
      <c r="K74" s="1677">
        <f t="shared" si="10"/>
        <v>1875578</v>
      </c>
      <c r="L74" s="1677">
        <f>SUM(L42,L47,L53,L57,L65,L72,L73)</f>
        <v>1936547</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361867</v>
      </c>
      <c r="I86" s="477"/>
      <c r="J86" s="477"/>
      <c r="K86" s="1677">
        <f t="shared" ref="K86:K98" si="12">H86</f>
        <v>361867</v>
      </c>
      <c r="L86" s="530">
        <v>375000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30600</v>
      </c>
      <c r="I88" s="477"/>
      <c r="J88" s="477"/>
      <c r="K88" s="1677">
        <f t="shared" si="12"/>
        <v>30600</v>
      </c>
      <c r="L88" s="530">
        <v>41400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392467</v>
      </c>
      <c r="I92" s="477"/>
      <c r="J92" s="477"/>
      <c r="K92" s="1677">
        <f t="shared" si="12"/>
        <v>392467</v>
      </c>
      <c r="L92" s="1670">
        <f>SUM(L85:L91)</f>
        <v>416400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392467</v>
      </c>
      <c r="I102" s="477"/>
      <c r="J102" s="477"/>
      <c r="K102" s="1677">
        <f>SUM(K84,K92,K100,K101)</f>
        <v>392467</v>
      </c>
      <c r="L102" s="1677">
        <f>SUM(L84,L92,L100,L101)</f>
        <v>416400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4830512</v>
      </c>
      <c r="D114" s="1670">
        <f t="shared" ref="D114:K114" si="13">SUM(D33,D74,D75,D102,D112,D113)</f>
        <v>833815</v>
      </c>
      <c r="E114" s="1670">
        <f t="shared" si="13"/>
        <v>284458</v>
      </c>
      <c r="F114" s="1670">
        <f t="shared" si="13"/>
        <v>561692</v>
      </c>
      <c r="G114" s="1670">
        <f t="shared" si="13"/>
        <v>60688</v>
      </c>
      <c r="H114" s="1670">
        <f>SUM(H33,H74,H75,H102,H112,H113)</f>
        <v>417167</v>
      </c>
      <c r="I114" s="1670">
        <f t="shared" si="13"/>
        <v>0</v>
      </c>
      <c r="J114" s="1670">
        <f t="shared" si="13"/>
        <v>0</v>
      </c>
      <c r="K114" s="1670">
        <f t="shared" si="13"/>
        <v>6988332</v>
      </c>
      <c r="L114" s="1670">
        <f>SUM(L33,L74,L75,L102,L112,L113)</f>
        <v>7281411</v>
      </c>
    </row>
    <row r="115" spans="1:14" ht="13.5" thickTop="1" x14ac:dyDescent="0.2">
      <c r="A115" s="2181" t="s">
        <v>996</v>
      </c>
      <c r="B115" s="2182"/>
      <c r="C115" s="618"/>
      <c r="D115" s="618"/>
      <c r="E115" s="618"/>
      <c r="F115" s="618"/>
      <c r="G115" s="618"/>
      <c r="H115" s="618"/>
      <c r="I115" s="618"/>
      <c r="J115" s="618"/>
      <c r="K115" s="1684">
        <f>'Revenues 9-14'!C268-'Expenditures 15-22'!K114</f>
        <v>-301686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230658</v>
      </c>
      <c r="D124" s="466">
        <v>40896</v>
      </c>
      <c r="E124" s="466">
        <v>372870</v>
      </c>
      <c r="F124" s="466">
        <v>102485</v>
      </c>
      <c r="G124" s="466"/>
      <c r="H124" s="466"/>
      <c r="I124" s="467"/>
      <c r="J124" s="467"/>
      <c r="K124" s="1670">
        <f>SUM(C124:J124)</f>
        <v>746909</v>
      </c>
      <c r="L124" s="466">
        <v>761822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230658</v>
      </c>
      <c r="D127" s="1670">
        <f t="shared" ref="D127:L127" si="14">SUM(D122:D126)</f>
        <v>40896</v>
      </c>
      <c r="E127" s="1670">
        <f t="shared" si="14"/>
        <v>372870</v>
      </c>
      <c r="F127" s="1670">
        <f t="shared" si="14"/>
        <v>102485</v>
      </c>
      <c r="G127" s="1670">
        <f t="shared" si="14"/>
        <v>0</v>
      </c>
      <c r="H127" s="1670">
        <f t="shared" si="14"/>
        <v>0</v>
      </c>
      <c r="I127" s="1670">
        <f t="shared" si="14"/>
        <v>0</v>
      </c>
      <c r="J127" s="1670">
        <f t="shared" si="14"/>
        <v>0</v>
      </c>
      <c r="K127" s="1670">
        <f t="shared" si="14"/>
        <v>746909</v>
      </c>
      <c r="L127" s="1670">
        <f t="shared" si="14"/>
        <v>761822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230658</v>
      </c>
      <c r="D129" s="1677">
        <f t="shared" ref="D129:L129" si="15">SUM(D120,D127,D128)</f>
        <v>40896</v>
      </c>
      <c r="E129" s="1677">
        <f t="shared" si="15"/>
        <v>372870</v>
      </c>
      <c r="F129" s="1677">
        <f t="shared" si="15"/>
        <v>102485</v>
      </c>
      <c r="G129" s="1677">
        <f t="shared" si="15"/>
        <v>0</v>
      </c>
      <c r="H129" s="1677">
        <f t="shared" si="15"/>
        <v>0</v>
      </c>
      <c r="I129" s="1677">
        <f t="shared" si="15"/>
        <v>0</v>
      </c>
      <c r="J129" s="1677">
        <f t="shared" si="15"/>
        <v>0</v>
      </c>
      <c r="K129" s="1677">
        <f t="shared" si="15"/>
        <v>746909</v>
      </c>
      <c r="L129" s="1677">
        <f t="shared" si="15"/>
        <v>761822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3"/>
      <c r="C151" s="1670">
        <f>SUM(C129,C130,C139,C149,C150)</f>
        <v>230658</v>
      </c>
      <c r="D151" s="1670">
        <f t="shared" ref="D151:K151" si="16">SUM(D129,D130,D139,D149,D150)</f>
        <v>40896</v>
      </c>
      <c r="E151" s="1670">
        <f t="shared" si="16"/>
        <v>372870</v>
      </c>
      <c r="F151" s="1670">
        <f t="shared" si="16"/>
        <v>102485</v>
      </c>
      <c r="G151" s="1670">
        <f t="shared" si="16"/>
        <v>0</v>
      </c>
      <c r="H151" s="1670">
        <f t="shared" si="16"/>
        <v>0</v>
      </c>
      <c r="I151" s="1670">
        <f t="shared" si="16"/>
        <v>0</v>
      </c>
      <c r="J151" s="1670">
        <f t="shared" si="16"/>
        <v>0</v>
      </c>
      <c r="K151" s="1670">
        <f t="shared" si="16"/>
        <v>746909</v>
      </c>
      <c r="L151" s="1670">
        <f>SUM(L129,L130,L139,L149,L150)</f>
        <v>761822</v>
      </c>
    </row>
    <row r="152" spans="1:14" ht="12.75" customHeight="1" thickTop="1" x14ac:dyDescent="0.2">
      <c r="A152" s="2174" t="s">
        <v>1178</v>
      </c>
      <c r="B152" s="2175"/>
      <c r="C152" s="618"/>
      <c r="D152" s="618"/>
      <c r="E152" s="618"/>
      <c r="F152" s="618"/>
      <c r="G152" s="618"/>
      <c r="H152" s="618"/>
      <c r="I152" s="618"/>
      <c r="J152" s="616"/>
      <c r="K152" s="1684">
        <f>'Revenues 9-14'!D268-'Expenditures 15-22'!K151</f>
        <v>-78562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289620</v>
      </c>
      <c r="I169" s="616"/>
      <c r="J169" s="616"/>
      <c r="K169" s="1671">
        <f>SUM(C169:H169)</f>
        <v>289620</v>
      </c>
      <c r="L169" s="656">
        <v>291120</v>
      </c>
    </row>
    <row r="170" spans="1:14" ht="33.75" customHeight="1" x14ac:dyDescent="0.2">
      <c r="A170" s="669" t="s">
        <v>1670</v>
      </c>
      <c r="B170" s="671" t="s">
        <v>31</v>
      </c>
      <c r="C170" s="616"/>
      <c r="D170" s="616"/>
      <c r="E170" s="616"/>
      <c r="F170" s="616"/>
      <c r="G170" s="616"/>
      <c r="H170" s="569">
        <v>990000</v>
      </c>
      <c r="I170" s="616"/>
      <c r="J170" s="616"/>
      <c r="K170" s="1671">
        <f>SUM(C170:J170)</f>
        <v>990000</v>
      </c>
      <c r="L170" s="569">
        <v>1117117</v>
      </c>
    </row>
    <row r="171" spans="1:14" ht="15.75" customHeight="1" x14ac:dyDescent="0.2">
      <c r="A171" s="621" t="s">
        <v>766</v>
      </c>
      <c r="B171" s="672" t="s">
        <v>84</v>
      </c>
      <c r="C171" s="616"/>
      <c r="D171" s="616"/>
      <c r="E171" s="466"/>
      <c r="F171" s="616"/>
      <c r="G171" s="616"/>
      <c r="H171" s="569">
        <v>111749</v>
      </c>
      <c r="I171" s="477"/>
      <c r="J171" s="616"/>
      <c r="K171" s="1671">
        <f>SUM(C171:J171)</f>
        <v>111749</v>
      </c>
      <c r="L171" s="569">
        <v>3000</v>
      </c>
    </row>
    <row r="172" spans="1:14" ht="12.75" customHeight="1" thickBot="1" x14ac:dyDescent="0.25">
      <c r="A172" s="1668" t="s">
        <v>638</v>
      </c>
      <c r="B172" s="1669" t="s">
        <v>492</v>
      </c>
      <c r="C172" s="616"/>
      <c r="D172" s="616"/>
      <c r="E172" s="1677">
        <f>SUM(E168,E169,E170,E171)</f>
        <v>0</v>
      </c>
      <c r="F172" s="616"/>
      <c r="G172" s="616"/>
      <c r="H172" s="1677">
        <f>SUM(H168,H169,H170,H171)</f>
        <v>1391369</v>
      </c>
      <c r="I172" s="638"/>
      <c r="J172" s="616"/>
      <c r="K172" s="1677">
        <f>SUM(K168,K169,K170,K171)</f>
        <v>1391369</v>
      </c>
      <c r="L172" s="1677">
        <f>SUM(L168,L169,L170,L171)</f>
        <v>1411237</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1391369</v>
      </c>
      <c r="I174" s="638"/>
      <c r="J174" s="616"/>
      <c r="K174" s="1677">
        <f>SUM(K160,K172,K173)</f>
        <v>1391369</v>
      </c>
      <c r="L174" s="1677">
        <f>SUM(L160,L172,L173)</f>
        <v>1411237</v>
      </c>
    </row>
    <row r="175" spans="1:14" ht="13.5" thickTop="1" x14ac:dyDescent="0.2">
      <c r="A175" s="2181" t="s">
        <v>996</v>
      </c>
      <c r="B175" s="2182"/>
      <c r="C175" s="616"/>
      <c r="D175" s="616"/>
      <c r="E175" s="616"/>
      <c r="F175" s="616"/>
      <c r="G175" s="616"/>
      <c r="H175" s="618"/>
      <c r="I175" s="616"/>
      <c r="J175" s="616"/>
      <c r="K175" s="1684">
        <f>'Revenues 9-14'!E268-'Expenditures 15-22'!K174</f>
        <v>-63362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286600</v>
      </c>
      <c r="D182" s="466">
        <v>5449</v>
      </c>
      <c r="E182" s="466">
        <v>37984</v>
      </c>
      <c r="F182" s="466">
        <v>103548</v>
      </c>
      <c r="G182" s="466">
        <v>74798</v>
      </c>
      <c r="H182" s="466"/>
      <c r="I182" s="467"/>
      <c r="J182" s="467"/>
      <c r="K182" s="1671">
        <f>SUM(C182:J182)</f>
        <v>508379</v>
      </c>
      <c r="L182" s="466">
        <v>527353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286600</v>
      </c>
      <c r="D184" s="1677">
        <f t="shared" ref="D184:J184" si="17">SUM(D180,D182,D183)</f>
        <v>5449</v>
      </c>
      <c r="E184" s="1677">
        <f t="shared" si="17"/>
        <v>37984</v>
      </c>
      <c r="F184" s="1677">
        <f t="shared" si="17"/>
        <v>103548</v>
      </c>
      <c r="G184" s="1677">
        <f t="shared" si="17"/>
        <v>74798</v>
      </c>
      <c r="H184" s="1677">
        <f t="shared" si="17"/>
        <v>0</v>
      </c>
      <c r="I184" s="1677">
        <f t="shared" si="17"/>
        <v>0</v>
      </c>
      <c r="J184" s="1677">
        <f t="shared" si="17"/>
        <v>0</v>
      </c>
      <c r="K184" s="1677">
        <f>SUM(K180,K182,K183)</f>
        <v>508379</v>
      </c>
      <c r="L184" s="1677">
        <f>SUM(L180, L182:L183)</f>
        <v>527353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286600</v>
      </c>
      <c r="D210" s="1670">
        <f>SUM(D184,D185)</f>
        <v>5449</v>
      </c>
      <c r="E210" s="1670">
        <f>SUM(E184,E185,E196)</f>
        <v>37984</v>
      </c>
      <c r="F210" s="1670">
        <f>SUM(F184,F185)</f>
        <v>103548</v>
      </c>
      <c r="G210" s="1670">
        <f>SUM(G184,G185)</f>
        <v>74798</v>
      </c>
      <c r="H210" s="1670">
        <f>SUM(H184,H185,H196,H208,H209)</f>
        <v>0</v>
      </c>
      <c r="I210" s="1670">
        <f>SUM(I184,I185)</f>
        <v>0</v>
      </c>
      <c r="J210" s="1670">
        <f>SUM(J184,J185)</f>
        <v>0</v>
      </c>
      <c r="K210" s="1671">
        <f>SUM(K184,K185,K196,K208,K209)</f>
        <v>508379</v>
      </c>
      <c r="L210" s="1670">
        <f>SUM(L184,L185,L196,L208,L209)</f>
        <v>527353</v>
      </c>
    </row>
    <row r="211" spans="1:14" ht="13.5" thickTop="1" x14ac:dyDescent="0.2">
      <c r="A211" s="2181" t="s">
        <v>996</v>
      </c>
      <c r="B211" s="2182"/>
      <c r="C211" s="618"/>
      <c r="D211" s="618"/>
      <c r="E211" s="618"/>
      <c r="F211" s="618"/>
      <c r="G211" s="618"/>
      <c r="H211" s="618"/>
      <c r="I211" s="616"/>
      <c r="J211" s="616"/>
      <c r="K211" s="1684">
        <f>'Revenues 9-14'!F268-'Expenditures 15-22'!K210</f>
        <v>39878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49185</v>
      </c>
      <c r="E215" s="616"/>
      <c r="F215" s="616"/>
      <c r="G215" s="616"/>
      <c r="H215" s="616"/>
      <c r="I215" s="616"/>
      <c r="J215" s="616"/>
      <c r="K215" s="1671">
        <f>D215</f>
        <v>49185</v>
      </c>
      <c r="L215" s="466">
        <v>37075</v>
      </c>
    </row>
    <row r="216" spans="1:14" x14ac:dyDescent="0.2">
      <c r="A216" s="1504" t="s">
        <v>163</v>
      </c>
      <c r="B216" s="614" t="s">
        <v>967</v>
      </c>
      <c r="C216" s="616"/>
      <c r="D216" s="467"/>
      <c r="E216" s="616"/>
      <c r="F216" s="616"/>
      <c r="G216" s="616"/>
      <c r="H216" s="616"/>
      <c r="I216" s="616"/>
      <c r="J216" s="616"/>
      <c r="K216" s="1671">
        <f t="shared" ref="K216:K228" si="19">D216</f>
        <v>0</v>
      </c>
      <c r="L216" s="466">
        <v>15205</v>
      </c>
    </row>
    <row r="217" spans="1:14" x14ac:dyDescent="0.2">
      <c r="A217" s="1504" t="s">
        <v>164</v>
      </c>
      <c r="B217" s="614">
        <v>1200</v>
      </c>
      <c r="C217" s="616"/>
      <c r="D217" s="466">
        <v>7238</v>
      </c>
      <c r="E217" s="616"/>
      <c r="F217" s="616"/>
      <c r="G217" s="616"/>
      <c r="H217" s="616"/>
      <c r="I217" s="616"/>
      <c r="J217" s="616"/>
      <c r="K217" s="1671">
        <f t="shared" si="19"/>
        <v>7238</v>
      </c>
      <c r="L217" s="466">
        <v>16510</v>
      </c>
    </row>
    <row r="218" spans="1:14" x14ac:dyDescent="0.2">
      <c r="A218" s="1504" t="s">
        <v>278</v>
      </c>
      <c r="B218" s="614" t="s">
        <v>968</v>
      </c>
      <c r="C218" s="616"/>
      <c r="D218" s="467">
        <v>4928</v>
      </c>
      <c r="E218" s="616"/>
      <c r="F218" s="616"/>
      <c r="G218" s="616"/>
      <c r="H218" s="616"/>
      <c r="I218" s="616"/>
      <c r="J218" s="616"/>
      <c r="K218" s="1671">
        <f t="shared" si="19"/>
        <v>4928</v>
      </c>
      <c r="L218" s="466"/>
    </row>
    <row r="219" spans="1:14" x14ac:dyDescent="0.2">
      <c r="A219" s="1504" t="s">
        <v>279</v>
      </c>
      <c r="B219" s="614">
        <v>1250</v>
      </c>
      <c r="C219" s="616"/>
      <c r="D219" s="466">
        <v>3236</v>
      </c>
      <c r="E219" s="616"/>
      <c r="F219" s="616"/>
      <c r="G219" s="616"/>
      <c r="H219" s="616"/>
      <c r="I219" s="616"/>
      <c r="J219" s="616"/>
      <c r="K219" s="1671">
        <f t="shared" si="19"/>
        <v>3236</v>
      </c>
      <c r="L219" s="466">
        <v>3650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3156</v>
      </c>
      <c r="E223" s="616"/>
      <c r="F223" s="616"/>
      <c r="G223" s="616"/>
      <c r="H223" s="616"/>
      <c r="I223" s="616"/>
      <c r="J223" s="616"/>
      <c r="K223" s="1671">
        <f t="shared" si="19"/>
        <v>3156</v>
      </c>
      <c r="L223" s="466">
        <v>3500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634</v>
      </c>
      <c r="E226" s="616"/>
      <c r="F226" s="616"/>
      <c r="G226" s="616"/>
      <c r="H226" s="616"/>
      <c r="I226" s="616"/>
      <c r="J226" s="616"/>
      <c r="K226" s="1671">
        <f t="shared" si="19"/>
        <v>634</v>
      </c>
      <c r="L226" s="466">
        <v>750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68377</v>
      </c>
      <c r="E229" s="616"/>
      <c r="F229" s="616"/>
      <c r="G229" s="616"/>
      <c r="H229" s="616"/>
      <c r="I229" s="616"/>
      <c r="J229" s="616"/>
      <c r="K229" s="1670">
        <f>SUM(K215:K228)</f>
        <v>68377</v>
      </c>
      <c r="L229" s="1670">
        <f>SUM(L215:L228)</f>
        <v>76690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820</v>
      </c>
      <c r="E232" s="616"/>
      <c r="F232" s="616"/>
      <c r="G232" s="616"/>
      <c r="H232" s="616"/>
      <c r="I232" s="616"/>
      <c r="J232" s="616"/>
      <c r="K232" s="1671">
        <f t="shared" ref="K232:K237" si="20">D232</f>
        <v>820</v>
      </c>
      <c r="L232" s="466">
        <v>850</v>
      </c>
    </row>
    <row r="233" spans="1:12" x14ac:dyDescent="0.2">
      <c r="A233" s="1504" t="s">
        <v>1090</v>
      </c>
      <c r="B233" s="614">
        <v>2120</v>
      </c>
      <c r="C233" s="616"/>
      <c r="D233" s="466">
        <v>1111</v>
      </c>
      <c r="E233" s="616"/>
      <c r="F233" s="616"/>
      <c r="G233" s="616"/>
      <c r="H233" s="616"/>
      <c r="I233" s="616"/>
      <c r="J233" s="616"/>
      <c r="K233" s="1671">
        <f t="shared" si="20"/>
        <v>1111</v>
      </c>
      <c r="L233" s="466">
        <v>1152</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722</v>
      </c>
      <c r="E236" s="616"/>
      <c r="F236" s="616"/>
      <c r="G236" s="616"/>
      <c r="H236" s="616"/>
      <c r="I236" s="616"/>
      <c r="J236" s="616"/>
      <c r="K236" s="1671">
        <f t="shared" si="20"/>
        <v>722</v>
      </c>
      <c r="L236" s="466">
        <v>750</v>
      </c>
    </row>
    <row r="237" spans="1:12" x14ac:dyDescent="0.2">
      <c r="A237" s="1504" t="s">
        <v>165</v>
      </c>
      <c r="B237" s="614">
        <v>2190</v>
      </c>
      <c r="C237" s="616"/>
      <c r="D237" s="466">
        <v>287</v>
      </c>
      <c r="E237" s="616"/>
      <c r="F237" s="616"/>
      <c r="G237" s="616"/>
      <c r="H237" s="616"/>
      <c r="I237" s="616"/>
      <c r="J237" s="616"/>
      <c r="K237" s="1671">
        <f t="shared" si="20"/>
        <v>287</v>
      </c>
      <c r="L237" s="466">
        <v>350</v>
      </c>
    </row>
    <row r="238" spans="1:12" ht="12.75" customHeight="1" thickBot="1" x14ac:dyDescent="0.25">
      <c r="A238" s="1668" t="s">
        <v>560</v>
      </c>
      <c r="B238" s="1675" t="s">
        <v>716</v>
      </c>
      <c r="C238" s="616"/>
      <c r="D238" s="1670">
        <f>SUM(D232:D237)</f>
        <v>2940</v>
      </c>
      <c r="E238" s="616"/>
      <c r="F238" s="616"/>
      <c r="G238" s="616"/>
      <c r="H238" s="616"/>
      <c r="I238" s="616"/>
      <c r="J238" s="616"/>
      <c r="K238" s="1670">
        <f>SUM(K232:K237)</f>
        <v>2940</v>
      </c>
      <c r="L238" s="1670">
        <f>SUM(L232:L237)</f>
        <v>3102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122</v>
      </c>
      <c r="E240" s="616"/>
      <c r="F240" s="616"/>
      <c r="G240" s="616"/>
      <c r="H240" s="616"/>
      <c r="I240" s="616"/>
      <c r="J240" s="616"/>
      <c r="K240" s="1672">
        <f>D240</f>
        <v>122</v>
      </c>
      <c r="L240" s="481">
        <v>125</v>
      </c>
    </row>
    <row r="241" spans="1:12" x14ac:dyDescent="0.2">
      <c r="A241" s="1504" t="s">
        <v>815</v>
      </c>
      <c r="B241" s="614">
        <v>2220</v>
      </c>
      <c r="C241" s="616"/>
      <c r="D241" s="466">
        <v>933</v>
      </c>
      <c r="E241" s="616"/>
      <c r="F241" s="616"/>
      <c r="G241" s="616"/>
      <c r="H241" s="616"/>
      <c r="I241" s="616"/>
      <c r="J241" s="616"/>
      <c r="K241" s="1672">
        <f>D241</f>
        <v>933</v>
      </c>
      <c r="L241" s="466">
        <v>1877</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1055</v>
      </c>
      <c r="E243" s="616"/>
      <c r="F243" s="616"/>
      <c r="G243" s="616"/>
      <c r="H243" s="616"/>
      <c r="I243" s="616"/>
      <c r="J243" s="616"/>
      <c r="K243" s="1670">
        <f>SUM(K240:K242)</f>
        <v>1055</v>
      </c>
      <c r="L243" s="1670">
        <f>SUM(L240:L242)</f>
        <v>2002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1908</v>
      </c>
      <c r="E246" s="616"/>
      <c r="F246" s="616"/>
      <c r="G246" s="616"/>
      <c r="H246" s="616"/>
      <c r="I246" s="616"/>
      <c r="J246" s="616"/>
      <c r="K246" s="1672">
        <f t="shared" ref="K246:K256" si="21">D246</f>
        <v>1908</v>
      </c>
      <c r="L246" s="466">
        <v>1925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1908</v>
      </c>
      <c r="E257" s="616"/>
      <c r="F257" s="616"/>
      <c r="G257" s="616"/>
      <c r="H257" s="616"/>
      <c r="I257" s="616"/>
      <c r="J257" s="616"/>
      <c r="K257" s="1670">
        <f>SUM(K245:K256)</f>
        <v>1908</v>
      </c>
      <c r="L257" s="1670">
        <f>SUM(L245:L256)</f>
        <v>1925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24714</v>
      </c>
      <c r="E259" s="616"/>
      <c r="F259" s="616"/>
      <c r="G259" s="616"/>
      <c r="H259" s="616"/>
      <c r="I259" s="616"/>
      <c r="J259" s="616"/>
      <c r="K259" s="1672">
        <f>D259</f>
        <v>24714</v>
      </c>
      <c r="L259" s="481">
        <v>32192</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24714</v>
      </c>
      <c r="E261" s="616"/>
      <c r="F261" s="616"/>
      <c r="G261" s="616"/>
      <c r="H261" s="616"/>
      <c r="I261" s="616"/>
      <c r="J261" s="616"/>
      <c r="K261" s="1670">
        <f>SUM(K259:K260)</f>
        <v>24714</v>
      </c>
      <c r="L261" s="1670">
        <f>SUM(L259:L260)</f>
        <v>32192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16221</v>
      </c>
      <c r="E264" s="616"/>
      <c r="F264" s="616"/>
      <c r="G264" s="616"/>
      <c r="H264" s="616"/>
      <c r="I264" s="616"/>
      <c r="J264" s="616"/>
      <c r="K264" s="1672">
        <f t="shared" ref="K264:K269" si="22">D264</f>
        <v>16221</v>
      </c>
      <c r="L264" s="466">
        <v>18950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39185</v>
      </c>
      <c r="E266" s="616"/>
      <c r="F266" s="616"/>
      <c r="G266" s="616"/>
      <c r="H266" s="616"/>
      <c r="I266" s="616"/>
      <c r="J266" s="616"/>
      <c r="K266" s="1672">
        <f t="shared" si="22"/>
        <v>39185</v>
      </c>
      <c r="L266" s="466">
        <v>45800</v>
      </c>
    </row>
    <row r="267" spans="1:14" x14ac:dyDescent="0.2">
      <c r="A267" s="1504" t="s">
        <v>953</v>
      </c>
      <c r="B267" s="614">
        <v>2550</v>
      </c>
      <c r="C267" s="616"/>
      <c r="D267" s="466">
        <v>27434</v>
      </c>
      <c r="E267" s="616"/>
      <c r="F267" s="616"/>
      <c r="G267" s="616"/>
      <c r="H267" s="616"/>
      <c r="I267" s="616"/>
      <c r="J267" s="616"/>
      <c r="K267" s="1672">
        <f t="shared" si="22"/>
        <v>27434</v>
      </c>
      <c r="L267" s="466">
        <v>29800</v>
      </c>
    </row>
    <row r="268" spans="1:14" x14ac:dyDescent="0.2">
      <c r="A268" s="1504" t="s">
        <v>100</v>
      </c>
      <c r="B268" s="614">
        <v>2560</v>
      </c>
      <c r="C268" s="616"/>
      <c r="D268" s="466">
        <v>14153</v>
      </c>
      <c r="E268" s="616"/>
      <c r="F268" s="616"/>
      <c r="G268" s="616"/>
      <c r="H268" s="616"/>
      <c r="I268" s="616"/>
      <c r="J268" s="616"/>
      <c r="K268" s="1672">
        <f t="shared" si="22"/>
        <v>14153</v>
      </c>
      <c r="L268" s="466">
        <v>16500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96993</v>
      </c>
      <c r="E270" s="616"/>
      <c r="F270" s="616"/>
      <c r="G270" s="616"/>
      <c r="H270" s="616"/>
      <c r="I270" s="616"/>
      <c r="J270" s="616"/>
      <c r="K270" s="1670">
        <f>SUM(K263:K269)</f>
        <v>96993</v>
      </c>
      <c r="L270" s="1670">
        <f>SUM(L263:L269)</f>
        <v>111050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127610</v>
      </c>
      <c r="E279" s="616"/>
      <c r="F279" s="616"/>
      <c r="G279" s="616"/>
      <c r="H279" s="616"/>
      <c r="I279" s="616"/>
      <c r="J279" s="616"/>
      <c r="K279" s="1677">
        <f>SUM(K238,K243,K257,K261,K270,K277,K278)</f>
        <v>127610</v>
      </c>
      <c r="L279" s="1677">
        <f>SUM(L238,L243,L257,L261,L270,L277,L278)</f>
        <v>150271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195987</v>
      </c>
      <c r="E295" s="616"/>
      <c r="F295" s="616"/>
      <c r="G295" s="616"/>
      <c r="H295" s="1670">
        <f>H293</f>
        <v>0</v>
      </c>
      <c r="I295" s="616"/>
      <c r="J295" s="616"/>
      <c r="K295" s="1670">
        <f>SUM(K229,K279,K280,K285,K293,K294)</f>
        <v>195987</v>
      </c>
      <c r="L295" s="1670">
        <f>SUM(L229,L279,L280,L285,L293,L294)</f>
        <v>226961</v>
      </c>
    </row>
    <row r="296" spans="1:14" ht="13.5" thickTop="1" x14ac:dyDescent="0.2">
      <c r="A296" s="2181" t="s">
        <v>996</v>
      </c>
      <c r="B296" s="2182"/>
      <c r="C296" s="616"/>
      <c r="D296" s="618"/>
      <c r="E296" s="616"/>
      <c r="F296" s="616"/>
      <c r="G296" s="616"/>
      <c r="H296" s="687"/>
      <c r="I296" s="616"/>
      <c r="J296" s="616"/>
      <c r="K296" s="1684">
        <f>'Revenues 9-14'!G268-'Expenditures 15-22'!K295</f>
        <v>12304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v>164949</v>
      </c>
      <c r="G301" s="466">
        <v>371709</v>
      </c>
      <c r="H301" s="466"/>
      <c r="I301" s="467"/>
      <c r="J301" s="467"/>
      <c r="K301" s="1671">
        <f>SUM(C301:J301)</f>
        <v>536658</v>
      </c>
      <c r="L301" s="467">
        <v>550000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164949</v>
      </c>
      <c r="G303" s="1677">
        <f t="shared" si="23"/>
        <v>371709</v>
      </c>
      <c r="H303" s="1677">
        <f t="shared" si="23"/>
        <v>0</v>
      </c>
      <c r="I303" s="1677">
        <f t="shared" si="23"/>
        <v>0</v>
      </c>
      <c r="J303" s="1677">
        <f t="shared" si="23"/>
        <v>0</v>
      </c>
      <c r="K303" s="1677">
        <f t="shared" si="23"/>
        <v>536658</v>
      </c>
      <c r="L303" s="1677">
        <f t="shared" si="23"/>
        <v>550000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164949</v>
      </c>
      <c r="G312" s="1670">
        <f>SUM(G303)</f>
        <v>371709</v>
      </c>
      <c r="H312" s="1670">
        <f>SUM(H303,H310)</f>
        <v>0</v>
      </c>
      <c r="I312" s="1670">
        <f>SUM(I303)</f>
        <v>0</v>
      </c>
      <c r="J312" s="1670">
        <f>SUM(J303)</f>
        <v>0</v>
      </c>
      <c r="K312" s="1670">
        <f>SUM(K303,K310,K311)</f>
        <v>536658</v>
      </c>
      <c r="L312" s="1670">
        <f>SUM(L303,L310,L311)</f>
        <v>550000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-56039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136108</v>
      </c>
      <c r="F322" s="467"/>
      <c r="G322" s="467"/>
      <c r="H322" s="467"/>
      <c r="I322" s="467"/>
      <c r="J322" s="467"/>
      <c r="K322" s="1671">
        <f t="shared" si="24"/>
        <v>136108</v>
      </c>
      <c r="L322" s="467">
        <v>153000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233864</v>
      </c>
      <c r="D325" s="467"/>
      <c r="E325" s="467"/>
      <c r="F325" s="467"/>
      <c r="G325" s="467"/>
      <c r="H325" s="467"/>
      <c r="I325" s="467"/>
      <c r="J325" s="467"/>
      <c r="K325" s="1671">
        <f t="shared" si="24"/>
        <v>233864</v>
      </c>
      <c r="L325" s="467">
        <v>233864</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20954</v>
      </c>
      <c r="F327" s="467"/>
      <c r="G327" s="467"/>
      <c r="H327" s="467"/>
      <c r="I327" s="467"/>
      <c r="J327" s="467"/>
      <c r="K327" s="1671">
        <f t="shared" si="24"/>
        <v>20954</v>
      </c>
      <c r="L327" s="467">
        <v>25000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233864</v>
      </c>
      <c r="D330" s="1670">
        <f t="shared" ref="D330:J330" si="25">SUM(D319:D329)</f>
        <v>0</v>
      </c>
      <c r="E330" s="1670">
        <f t="shared" si="25"/>
        <v>157062</v>
      </c>
      <c r="F330" s="1670">
        <f t="shared" si="25"/>
        <v>0</v>
      </c>
      <c r="G330" s="1670">
        <f t="shared" si="25"/>
        <v>0</v>
      </c>
      <c r="H330" s="1670">
        <f t="shared" si="25"/>
        <v>0</v>
      </c>
      <c r="I330" s="1670">
        <f t="shared" si="25"/>
        <v>0</v>
      </c>
      <c r="J330" s="1670">
        <f t="shared" si="25"/>
        <v>0</v>
      </c>
      <c r="K330" s="1670">
        <f>SUM(K319:K329)</f>
        <v>390926</v>
      </c>
      <c r="L330" s="1670">
        <f>SUM(L319:L329)</f>
        <v>411864</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233864</v>
      </c>
      <c r="D342" s="1670">
        <f>SUM(D330)</f>
        <v>0</v>
      </c>
      <c r="E342" s="1670">
        <f>SUM(E330)</f>
        <v>157062</v>
      </c>
      <c r="F342" s="1670">
        <f>SUM(F330)</f>
        <v>0</v>
      </c>
      <c r="G342" s="1670">
        <f>SUM(G330)</f>
        <v>0</v>
      </c>
      <c r="H342" s="1670">
        <f>SUM(H330,H334,H340)</f>
        <v>0</v>
      </c>
      <c r="I342" s="1670">
        <f>SUM(I330)</f>
        <v>0</v>
      </c>
      <c r="J342" s="1670">
        <f>SUM(J330)</f>
        <v>0</v>
      </c>
      <c r="K342" s="1670">
        <f>SUM(K330,K334,K340)</f>
        <v>390926</v>
      </c>
      <c r="L342" s="1677">
        <f>SUM(L330,L340,L341)</f>
        <v>411864</v>
      </c>
    </row>
    <row r="343" spans="1:14" ht="12.75" customHeight="1" thickTop="1" x14ac:dyDescent="0.2">
      <c r="A343" s="2167" t="s">
        <v>996</v>
      </c>
      <c r="B343" s="2168"/>
      <c r="C343" s="616"/>
      <c r="D343" s="616"/>
      <c r="E343" s="616"/>
      <c r="F343" s="616"/>
      <c r="G343" s="616"/>
      <c r="H343" s="616"/>
      <c r="I343" s="616"/>
      <c r="J343" s="616"/>
      <c r="K343" s="1684">
        <f>'Revenues 9-14'!J268-'Expenditures 15-22'!K342</f>
        <v>25096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211505</v>
      </c>
      <c r="F349" s="466"/>
      <c r="G349" s="466"/>
      <c r="H349" s="466"/>
      <c r="I349" s="467"/>
      <c r="J349" s="467"/>
      <c r="K349" s="1671">
        <f>SUM(C349:J349)</f>
        <v>211505</v>
      </c>
      <c r="L349" s="466">
        <v>238780</v>
      </c>
    </row>
    <row r="350" spans="1:14" ht="12.75" customHeight="1" thickBot="1" x14ac:dyDescent="0.25">
      <c r="A350" s="1668" t="s">
        <v>719</v>
      </c>
      <c r="B350" s="1669" t="s">
        <v>35</v>
      </c>
      <c r="C350" s="1670">
        <f>SUM(C348:C349)</f>
        <v>0</v>
      </c>
      <c r="D350" s="1670">
        <f t="shared" ref="D350:L350" si="26">SUM(D348:D349)</f>
        <v>0</v>
      </c>
      <c r="E350" s="1670">
        <f t="shared" si="26"/>
        <v>211505</v>
      </c>
      <c r="F350" s="1670">
        <f t="shared" si="26"/>
        <v>0</v>
      </c>
      <c r="G350" s="1670">
        <f t="shared" si="26"/>
        <v>0</v>
      </c>
      <c r="H350" s="1670">
        <f t="shared" si="26"/>
        <v>0</v>
      </c>
      <c r="I350" s="1670">
        <f t="shared" si="26"/>
        <v>0</v>
      </c>
      <c r="J350" s="1670">
        <f t="shared" si="26"/>
        <v>0</v>
      </c>
      <c r="K350" s="1670">
        <f t="shared" si="26"/>
        <v>211505</v>
      </c>
      <c r="L350" s="1670">
        <f t="shared" si="26"/>
        <v>238780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211505</v>
      </c>
      <c r="F352" s="1670">
        <f t="shared" si="27"/>
        <v>0</v>
      </c>
      <c r="G352" s="1670">
        <f t="shared" si="27"/>
        <v>0</v>
      </c>
      <c r="H352" s="1670">
        <f t="shared" si="27"/>
        <v>0</v>
      </c>
      <c r="I352" s="1670">
        <f t="shared" si="27"/>
        <v>0</v>
      </c>
      <c r="J352" s="1670">
        <f t="shared" si="27"/>
        <v>0</v>
      </c>
      <c r="K352" s="1670">
        <f t="shared" si="27"/>
        <v>211505</v>
      </c>
      <c r="L352" s="1670">
        <f t="shared" si="27"/>
        <v>238780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211505</v>
      </c>
      <c r="F367" s="1670">
        <f t="shared" si="28"/>
        <v>0</v>
      </c>
      <c r="G367" s="1670">
        <f t="shared" si="28"/>
        <v>0</v>
      </c>
      <c r="H367" s="1670">
        <f t="shared" si="28"/>
        <v>0</v>
      </c>
      <c r="I367" s="1670">
        <f t="shared" si="28"/>
        <v>0</v>
      </c>
      <c r="J367" s="1670">
        <f t="shared" si="28"/>
        <v>0</v>
      </c>
      <c r="K367" s="1670">
        <f t="shared" si="28"/>
        <v>211505</v>
      </c>
      <c r="L367" s="1670">
        <f t="shared" si="28"/>
        <v>238780</v>
      </c>
    </row>
    <row r="368" spans="1:14" ht="13.5" thickTop="1" x14ac:dyDescent="0.2">
      <c r="A368" s="2181" t="s">
        <v>996</v>
      </c>
      <c r="B368" s="2182"/>
      <c r="C368" s="654"/>
      <c r="D368" s="654"/>
      <c r="E368" s="626"/>
      <c r="F368" s="626"/>
      <c r="G368" s="626"/>
      <c r="H368" s="626"/>
      <c r="I368" s="626"/>
      <c r="J368" s="623"/>
      <c r="K368" s="1671">
        <f>'Revenues 9-14'!K268-'Expenditures 15-22'!K367</f>
        <v>-136212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31" sqref="F3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1949</v>
      </c>
      <c r="C2" s="714" t="s">
        <v>1950</v>
      </c>
      <c r="D2" s="714" t="s">
        <v>1951</v>
      </c>
      <c r="E2" s="714" t="s">
        <v>1952</v>
      </c>
      <c r="F2" s="714" t="s">
        <v>1953</v>
      </c>
    </row>
    <row r="3" spans="1:6" ht="12" customHeight="1" x14ac:dyDescent="0.2">
      <c r="A3" s="2184"/>
      <c r="B3" s="1525"/>
      <c r="C3" s="1526"/>
      <c r="D3" s="1527" t="s">
        <v>256</v>
      </c>
      <c r="E3" s="1526"/>
      <c r="F3" s="1527" t="s">
        <v>257</v>
      </c>
    </row>
    <row r="4" spans="1:6" ht="13.7" customHeight="1" x14ac:dyDescent="0.2">
      <c r="A4" s="715" t="s">
        <v>1155</v>
      </c>
      <c r="B4" s="1749">
        <f>'Revenues 9-14'!C5</f>
        <v>3031608</v>
      </c>
      <c r="C4" s="1524"/>
      <c r="D4" s="1752">
        <f>B4-C4</f>
        <v>3031608</v>
      </c>
      <c r="E4" s="1524">
        <v>3531480</v>
      </c>
      <c r="F4" s="1752">
        <f>E4-C4</f>
        <v>3531480</v>
      </c>
    </row>
    <row r="5" spans="1:6" ht="13.7" customHeight="1" x14ac:dyDescent="0.2">
      <c r="A5" s="715" t="s">
        <v>870</v>
      </c>
      <c r="B5" s="1750">
        <f>'Revenues 9-14'!D5</f>
        <v>650560</v>
      </c>
      <c r="C5" s="585"/>
      <c r="D5" s="1753">
        <f t="shared" ref="D5:D18" si="0">B5-C5</f>
        <v>650560</v>
      </c>
      <c r="E5" s="585">
        <v>757828</v>
      </c>
      <c r="F5" s="1753">
        <f>E5-C5</f>
        <v>757828</v>
      </c>
    </row>
    <row r="6" spans="1:6" ht="13.7" customHeight="1" x14ac:dyDescent="0.2">
      <c r="A6" s="715" t="s">
        <v>411</v>
      </c>
      <c r="B6" s="1750">
        <f>'Revenues 9-14'!E5</f>
        <v>1166164</v>
      </c>
      <c r="C6" s="585"/>
      <c r="D6" s="1753">
        <f t="shared" si="0"/>
        <v>1166164</v>
      </c>
      <c r="E6" s="585">
        <v>1511352</v>
      </c>
      <c r="F6" s="1753">
        <f t="shared" ref="F6:F18" si="1">E6-C6</f>
        <v>1511352</v>
      </c>
    </row>
    <row r="7" spans="1:6" ht="13.7" customHeight="1" x14ac:dyDescent="0.2">
      <c r="A7" s="715" t="s">
        <v>155</v>
      </c>
      <c r="B7" s="1750">
        <f>'Revenues 9-14'!F5</f>
        <v>260224</v>
      </c>
      <c r="C7" s="585"/>
      <c r="D7" s="1753">
        <f t="shared" si="0"/>
        <v>260224</v>
      </c>
      <c r="E7" s="585">
        <v>303131</v>
      </c>
      <c r="F7" s="1753">
        <f t="shared" si="1"/>
        <v>303131</v>
      </c>
    </row>
    <row r="8" spans="1:6" ht="13.7" customHeight="1" x14ac:dyDescent="0.2">
      <c r="A8" s="715" t="s">
        <v>1179</v>
      </c>
      <c r="B8" s="1750">
        <f>'Revenues 9-14'!G5</f>
        <v>59760</v>
      </c>
      <c r="C8" s="585"/>
      <c r="D8" s="1753">
        <f t="shared" si="0"/>
        <v>59760</v>
      </c>
      <c r="E8" s="585">
        <v>45000</v>
      </c>
      <c r="F8" s="1753">
        <f t="shared" si="1"/>
        <v>45000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65056</v>
      </c>
      <c r="C10" s="585"/>
      <c r="D10" s="1753">
        <f t="shared" si="0"/>
        <v>65056</v>
      </c>
      <c r="E10" s="585">
        <v>75783</v>
      </c>
      <c r="F10" s="1753">
        <f t="shared" si="1"/>
        <v>75783</v>
      </c>
    </row>
    <row r="11" spans="1:6" x14ac:dyDescent="0.2">
      <c r="A11" s="715" t="s">
        <v>409</v>
      </c>
      <c r="B11" s="1750">
        <f>'Revenues 9-14'!J5</f>
        <v>409228</v>
      </c>
      <c r="C11" s="585"/>
      <c r="D11" s="1753">
        <f t="shared" si="0"/>
        <v>409228</v>
      </c>
      <c r="E11" s="585">
        <v>412289</v>
      </c>
      <c r="F11" s="1753">
        <f t="shared" si="1"/>
        <v>412289</v>
      </c>
    </row>
    <row r="12" spans="1:6" ht="13.7" customHeight="1" x14ac:dyDescent="0.2">
      <c r="A12" s="715" t="s">
        <v>157</v>
      </c>
      <c r="B12" s="1750">
        <f>'Revenues 9-14'!K5</f>
        <v>65056</v>
      </c>
      <c r="C12" s="585"/>
      <c r="D12" s="1753">
        <f t="shared" si="0"/>
        <v>65056</v>
      </c>
      <c r="E12" s="585">
        <v>75783</v>
      </c>
      <c r="F12" s="1753">
        <f t="shared" si="1"/>
        <v>75783</v>
      </c>
    </row>
    <row r="13" spans="1:6" ht="13.7" customHeight="1" x14ac:dyDescent="0.2">
      <c r="A13" s="715" t="s">
        <v>936</v>
      </c>
      <c r="B13" s="1750">
        <f>SUM('Revenues 9-14'!C6:D6)</f>
        <v>65056</v>
      </c>
      <c r="C13" s="585"/>
      <c r="D13" s="1753">
        <f t="shared" si="0"/>
        <v>65056</v>
      </c>
      <c r="E13" s="585">
        <v>75783</v>
      </c>
      <c r="F13" s="1753">
        <f t="shared" si="1"/>
        <v>75783</v>
      </c>
    </row>
    <row r="14" spans="1:6" ht="13.7" customHeight="1" x14ac:dyDescent="0.2">
      <c r="A14" s="715" t="s">
        <v>410</v>
      </c>
      <c r="B14" s="1750">
        <f>SUM('Revenues 9-14'!C7:D7,'Revenues 9-14'!F7:H7)</f>
        <v>52045</v>
      </c>
      <c r="C14" s="585"/>
      <c r="D14" s="1753">
        <f t="shared" si="0"/>
        <v>52045</v>
      </c>
      <c r="E14" s="585">
        <v>60626</v>
      </c>
      <c r="F14" s="1753">
        <f t="shared" si="1"/>
        <v>60626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137177</v>
      </c>
      <c r="C16" s="585"/>
      <c r="D16" s="1753">
        <f t="shared" si="0"/>
        <v>137177</v>
      </c>
      <c r="E16" s="585">
        <v>125011</v>
      </c>
      <c r="F16" s="1753">
        <f t="shared" si="1"/>
        <v>125011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5961934</v>
      </c>
      <c r="C19" s="1751">
        <f>SUM(C4:C18)</f>
        <v>0</v>
      </c>
      <c r="D19" s="1751">
        <f>SUM(D4:D18)</f>
        <v>5961934</v>
      </c>
      <c r="E19" s="1751">
        <f>SUM(E4:E18)</f>
        <v>6974066</v>
      </c>
      <c r="F19" s="1751">
        <f>SUM(F4:F18)</f>
        <v>6974066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90" zoomScaleNormal="90" workbookViewId="0">
      <selection activeCell="F31" sqref="F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4" t="s">
        <v>1954</v>
      </c>
      <c r="D2" s="723" t="s">
        <v>1955</v>
      </c>
      <c r="E2" s="723" t="s">
        <v>1956</v>
      </c>
      <c r="F2" s="1884" t="s">
        <v>1957</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5">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7" t="s">
        <v>631</v>
      </c>
      <c r="B15" s="2188"/>
      <c r="C15" s="1755">
        <f>SUM(C6:C14)</f>
        <v>0</v>
      </c>
      <c r="D15" s="1755">
        <f>SUM(D6:D14)</f>
        <v>0</v>
      </c>
      <c r="E15" s="1755">
        <f>SUM(E6:E14)</f>
        <v>0</v>
      </c>
      <c r="F15" s="1755">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5">
        <f>SUM(C17+D17)-E17</f>
        <v>0</v>
      </c>
    </row>
    <row r="18" spans="1:11" ht="12.75" customHeight="1" thickTop="1" thickBot="1" x14ac:dyDescent="0.25">
      <c r="A18" s="2210" t="s">
        <v>6</v>
      </c>
      <c r="B18" s="2211"/>
      <c r="C18" s="726"/>
      <c r="D18" s="585"/>
      <c r="E18" s="726"/>
      <c r="F18" s="1755">
        <f>SUM(C18+D18)-E18</f>
        <v>0</v>
      </c>
    </row>
    <row r="19" spans="1:11" ht="12.75" customHeight="1" thickTop="1" thickBot="1" x14ac:dyDescent="0.25">
      <c r="A19" s="2210" t="s">
        <v>388</v>
      </c>
      <c r="B19" s="2211"/>
      <c r="C19" s="726"/>
      <c r="D19" s="585"/>
      <c r="E19" s="726"/>
      <c r="F19" s="1755">
        <f>SUM(C19+D19)-E19</f>
        <v>0</v>
      </c>
    </row>
    <row r="20" spans="1:11" ht="12.75" customHeight="1" thickTop="1" thickBot="1" x14ac:dyDescent="0.25">
      <c r="A20" s="2210" t="s">
        <v>448</v>
      </c>
      <c r="B20" s="2211"/>
      <c r="C20" s="726"/>
      <c r="D20" s="585"/>
      <c r="E20" s="726"/>
      <c r="F20" s="1755">
        <f>SUM(C20+D20)-E20</f>
        <v>0</v>
      </c>
    </row>
    <row r="21" spans="1:11" ht="14.25" thickTop="1" thickBot="1" x14ac:dyDescent="0.25">
      <c r="A21" s="2187" t="s">
        <v>632</v>
      </c>
      <c r="B21" s="2188"/>
      <c r="C21" s="1755">
        <f>SUM(C17:C20)</f>
        <v>0</v>
      </c>
      <c r="D21" s="1755">
        <f>SUM(D17:D20)</f>
        <v>0</v>
      </c>
      <c r="E21" s="1755">
        <f>SUM(E17:E20)</f>
        <v>0</v>
      </c>
      <c r="F21" s="1755">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5">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5">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5">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2087</v>
      </c>
      <c r="B31" s="733">
        <v>39783</v>
      </c>
      <c r="C31" s="734">
        <v>9500000</v>
      </c>
      <c r="D31" s="735">
        <v>6</v>
      </c>
      <c r="E31" s="734">
        <v>485000</v>
      </c>
      <c r="F31" s="734"/>
      <c r="G31" s="734"/>
      <c r="H31" s="734">
        <v>485000</v>
      </c>
      <c r="I31" s="1756">
        <f>((E31+F31)-H31)+G31</f>
        <v>0</v>
      </c>
      <c r="J31" s="734"/>
      <c r="K31" s="736"/>
    </row>
    <row r="32" spans="1:11" ht="12" customHeight="1" x14ac:dyDescent="0.2">
      <c r="A32" s="732" t="s">
        <v>2080</v>
      </c>
      <c r="B32" s="733">
        <v>39845</v>
      </c>
      <c r="C32" s="734">
        <v>2950000</v>
      </c>
      <c r="D32" s="735">
        <v>6</v>
      </c>
      <c r="E32" s="734">
        <v>155000</v>
      </c>
      <c r="F32" s="734"/>
      <c r="G32" s="734"/>
      <c r="H32" s="734">
        <v>155000</v>
      </c>
      <c r="I32" s="1756">
        <f>((E32+F32)-H32)+G32</f>
        <v>0</v>
      </c>
      <c r="J32" s="734"/>
      <c r="K32" s="736"/>
    </row>
    <row r="33" spans="1:11" ht="12" customHeight="1" x14ac:dyDescent="0.2">
      <c r="A33" s="732" t="s">
        <v>2081</v>
      </c>
      <c r="B33" s="733">
        <v>42130</v>
      </c>
      <c r="C33" s="734">
        <v>1000000</v>
      </c>
      <c r="D33" s="735">
        <v>1</v>
      </c>
      <c r="E33" s="734">
        <v>650000</v>
      </c>
      <c r="F33" s="734"/>
      <c r="G33" s="734"/>
      <c r="H33" s="734">
        <v>210000</v>
      </c>
      <c r="I33" s="1756">
        <f t="shared" ref="I33:I48" si="1">((E33+F33)-H33)+G33</f>
        <v>440000</v>
      </c>
      <c r="J33" s="734"/>
      <c r="K33" s="736"/>
    </row>
    <row r="34" spans="1:11" ht="12" customHeight="1" x14ac:dyDescent="0.2">
      <c r="A34" s="732" t="s">
        <v>2082</v>
      </c>
      <c r="B34" s="733">
        <v>42650</v>
      </c>
      <c r="C34" s="734">
        <v>9130000</v>
      </c>
      <c r="D34" s="735">
        <v>3</v>
      </c>
      <c r="E34" s="734">
        <v>8925000</v>
      </c>
      <c r="F34" s="734"/>
      <c r="G34" s="734"/>
      <c r="H34" s="734">
        <v>140000</v>
      </c>
      <c r="I34" s="1756">
        <f t="shared" si="1"/>
        <v>8785000</v>
      </c>
      <c r="J34" s="734">
        <v>8625758</v>
      </c>
      <c r="K34" s="737"/>
    </row>
    <row r="35" spans="1:11" ht="12" customHeight="1" x14ac:dyDescent="0.2">
      <c r="A35" s="732" t="s">
        <v>2088</v>
      </c>
      <c r="B35" s="733">
        <v>43435</v>
      </c>
      <c r="C35" s="738">
        <v>1565000</v>
      </c>
      <c r="D35" s="735">
        <v>1</v>
      </c>
      <c r="E35" s="738"/>
      <c r="F35" s="738">
        <v>1565000</v>
      </c>
      <c r="G35" s="738"/>
      <c r="H35" s="738"/>
      <c r="I35" s="1756">
        <f t="shared" si="1"/>
        <v>1565000</v>
      </c>
      <c r="J35" s="738">
        <v>1565000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24145000</v>
      </c>
      <c r="D49" s="745"/>
      <c r="E49" s="1756">
        <f t="shared" ref="E49:J49" si="2">SUM(E31:E48)</f>
        <v>10215000</v>
      </c>
      <c r="F49" s="1756">
        <f t="shared" si="2"/>
        <v>1565000</v>
      </c>
      <c r="G49" s="1756">
        <f t="shared" si="2"/>
        <v>0</v>
      </c>
      <c r="H49" s="1756">
        <f t="shared" si="2"/>
        <v>990000</v>
      </c>
      <c r="I49" s="1756">
        <f t="shared" si="2"/>
        <v>10790000</v>
      </c>
      <c r="J49" s="1756">
        <f t="shared" si="2"/>
        <v>10190758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F31" sqref="F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1962</v>
      </c>
      <c r="B3" s="2221"/>
      <c r="C3" s="2221"/>
      <c r="D3" s="2221"/>
      <c r="E3" s="2222"/>
      <c r="F3" s="763"/>
      <c r="G3" s="764"/>
      <c r="H3" s="764"/>
      <c r="I3" s="764"/>
      <c r="J3" s="765">
        <v>931324</v>
      </c>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52045</v>
      </c>
      <c r="I5" s="772"/>
      <c r="J5" s="773"/>
      <c r="K5" s="773"/>
    </row>
    <row r="6" spans="1:11" x14ac:dyDescent="0.2">
      <c r="A6" s="774" t="s">
        <v>720</v>
      </c>
      <c r="B6" s="775"/>
      <c r="C6" s="775"/>
      <c r="D6" s="775"/>
      <c r="E6" s="776"/>
      <c r="F6" s="777" t="s">
        <v>849</v>
      </c>
      <c r="G6" s="764"/>
      <c r="H6" s="764"/>
      <c r="I6" s="764"/>
      <c r="J6" s="765">
        <v>42504</v>
      </c>
      <c r="K6" s="765"/>
    </row>
    <row r="7" spans="1:11" x14ac:dyDescent="0.2">
      <c r="A7" s="778" t="s">
        <v>246</v>
      </c>
      <c r="B7" s="779"/>
      <c r="C7" s="779"/>
      <c r="D7" s="779"/>
      <c r="E7" s="780"/>
      <c r="F7" s="770" t="s">
        <v>850</v>
      </c>
      <c r="G7" s="767"/>
      <c r="H7" s="767"/>
      <c r="I7" s="767"/>
      <c r="J7" s="781"/>
      <c r="K7" s="765">
        <v>16318</v>
      </c>
    </row>
    <row r="8" spans="1:11" x14ac:dyDescent="0.2">
      <c r="A8" s="778" t="s">
        <v>345</v>
      </c>
      <c r="B8" s="779"/>
      <c r="C8" s="779"/>
      <c r="D8" s="779"/>
      <c r="E8" s="780"/>
      <c r="F8" s="770" t="s">
        <v>851</v>
      </c>
      <c r="G8" s="782"/>
      <c r="H8" s="782"/>
      <c r="I8" s="782"/>
      <c r="J8" s="765">
        <v>579557</v>
      </c>
      <c r="K8" s="769"/>
    </row>
    <row r="9" spans="1:11" x14ac:dyDescent="0.2">
      <c r="A9" s="778" t="s">
        <v>138</v>
      </c>
      <c r="B9" s="779"/>
      <c r="C9" s="779"/>
      <c r="D9" s="779"/>
      <c r="E9" s="780"/>
      <c r="F9" s="777" t="s">
        <v>853</v>
      </c>
      <c r="G9" s="782"/>
      <c r="H9" s="771"/>
      <c r="I9" s="771"/>
      <c r="J9" s="781"/>
      <c r="K9" s="765">
        <v>14998</v>
      </c>
    </row>
    <row r="10" spans="1:11" x14ac:dyDescent="0.2">
      <c r="A10" s="2241" t="s">
        <v>1813</v>
      </c>
      <c r="B10" s="2214"/>
      <c r="C10" s="2214"/>
      <c r="D10" s="2214"/>
      <c r="E10" s="2243"/>
      <c r="F10" s="783" t="s">
        <v>862</v>
      </c>
      <c r="G10" s="782"/>
      <c r="H10" s="784"/>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7"/>
      <c r="G12" s="1758">
        <f>SUM(G5:G11)</f>
        <v>0</v>
      </c>
      <c r="H12" s="1758">
        <f>SUM(H5:H11)</f>
        <v>52045</v>
      </c>
      <c r="I12" s="1758">
        <f>SUM(I5:I11)</f>
        <v>0</v>
      </c>
      <c r="J12" s="1758">
        <f>SUM(J5:J11)</f>
        <v>622061</v>
      </c>
      <c r="K12" s="1758">
        <f>SUM(K5:K11)</f>
        <v>31316</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v>52045</v>
      </c>
      <c r="I14" s="771"/>
      <c r="J14" s="773"/>
      <c r="K14" s="765">
        <v>31316</v>
      </c>
    </row>
    <row r="15" spans="1:11" x14ac:dyDescent="0.2">
      <c r="A15" s="2214" t="s">
        <v>4</v>
      </c>
      <c r="B15" s="2214"/>
      <c r="C15" s="2214"/>
      <c r="D15" s="2214"/>
      <c r="E15" s="2242"/>
      <c r="F15" s="789" t="s">
        <v>855</v>
      </c>
      <c r="G15" s="771"/>
      <c r="H15" s="764"/>
      <c r="I15" s="764"/>
      <c r="J15" s="765">
        <v>536658</v>
      </c>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1809</v>
      </c>
      <c r="B19" s="2249"/>
      <c r="C19" s="2249"/>
      <c r="D19" s="2249"/>
      <c r="E19" s="2250"/>
      <c r="F19" s="789" t="s">
        <v>933</v>
      </c>
      <c r="G19" s="782"/>
      <c r="H19" s="782"/>
      <c r="I19" s="782"/>
      <c r="J19" s="765">
        <v>141442</v>
      </c>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9"/>
      <c r="G21" s="792"/>
      <c r="H21" s="796"/>
      <c r="I21" s="796"/>
      <c r="J21" s="1760">
        <f>SUM(J18:J20)</f>
        <v>141442</v>
      </c>
      <c r="K21" s="793"/>
    </row>
    <row r="22" spans="1:11" ht="13.5" thickTop="1" x14ac:dyDescent="0.2">
      <c r="A22" s="2214" t="s">
        <v>1815</v>
      </c>
      <c r="B22" s="2214"/>
      <c r="C22" s="2214"/>
      <c r="D22" s="2214"/>
      <c r="E22" s="2242"/>
      <c r="F22" s="789" t="s">
        <v>862</v>
      </c>
      <c r="G22" s="782"/>
      <c r="H22" s="764"/>
      <c r="I22" s="764"/>
      <c r="J22" s="797"/>
      <c r="K22" s="765"/>
    </row>
    <row r="23" spans="1:11" ht="13.5" thickBot="1" x14ac:dyDescent="0.25">
      <c r="A23" s="2235" t="s">
        <v>906</v>
      </c>
      <c r="B23" s="2234"/>
      <c r="C23" s="2234"/>
      <c r="D23" s="2234"/>
      <c r="E23" s="2234"/>
      <c r="F23" s="1761"/>
      <c r="G23" s="1758">
        <f>SUM(G14:G16,G21,G22)</f>
        <v>0</v>
      </c>
      <c r="H23" s="1758">
        <f>SUM(H14:H16,H21,H22)</f>
        <v>52045</v>
      </c>
      <c r="I23" s="1758">
        <f>SUM(I14:I16,I21,I22)</f>
        <v>0</v>
      </c>
      <c r="J23" s="1758">
        <f>SUM(J14:J16,J21,J22)</f>
        <v>678100</v>
      </c>
      <c r="K23" s="1758">
        <f>SUM(K14:K16,K21,K22)</f>
        <v>31316</v>
      </c>
    </row>
    <row r="24" spans="1:11" ht="14.25" thickTop="1" thickBot="1" x14ac:dyDescent="0.25">
      <c r="A24" s="2235" t="s">
        <v>1963</v>
      </c>
      <c r="B24" s="2234"/>
      <c r="C24" s="2234"/>
      <c r="D24" s="2234"/>
      <c r="E24" s="2234"/>
      <c r="F24" s="1762"/>
      <c r="G24" s="1763">
        <f>SUM(G3,G12)-G23</f>
        <v>0</v>
      </c>
      <c r="H24" s="1763">
        <f>SUM(H3,H12)-H23</f>
        <v>0</v>
      </c>
      <c r="I24" s="1763">
        <f>SUM(I3,I12)-I23</f>
        <v>0</v>
      </c>
      <c r="J24" s="1763">
        <f>SUM(J3,J12)-J23</f>
        <v>875285</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875285</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F31" sqref="F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376107</v>
      </c>
      <c r="D5" s="841"/>
      <c r="E5" s="841"/>
      <c r="F5" s="1760">
        <f>(C5+D5)-E5</f>
        <v>376107</v>
      </c>
      <c r="G5" s="837"/>
      <c r="H5" s="842"/>
      <c r="I5" s="842"/>
      <c r="J5" s="842"/>
      <c r="K5" s="793"/>
      <c r="L5" s="1769">
        <f>F5-K5</f>
        <v>376107</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33510187</v>
      </c>
      <c r="D8" s="844">
        <v>41379</v>
      </c>
      <c r="E8" s="844"/>
      <c r="F8" s="1760">
        <f>(C8+D8)-E8</f>
        <v>33551566</v>
      </c>
      <c r="G8" s="843">
        <v>50</v>
      </c>
      <c r="H8" s="765">
        <v>9503580</v>
      </c>
      <c r="I8" s="765">
        <v>656465</v>
      </c>
      <c r="J8" s="765"/>
      <c r="K8" s="1769">
        <f>(H8+I8)-J8</f>
        <v>10160045</v>
      </c>
      <c r="L8" s="1769">
        <f>F8-K8</f>
        <v>23391521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1127499</v>
      </c>
      <c r="D12" s="844">
        <v>270866</v>
      </c>
      <c r="E12" s="844"/>
      <c r="F12" s="1760">
        <f>(C12+D12)-E12</f>
        <v>1398365</v>
      </c>
      <c r="G12" s="843">
        <v>10</v>
      </c>
      <c r="H12" s="765">
        <v>656048</v>
      </c>
      <c r="I12" s="765">
        <v>83571</v>
      </c>
      <c r="J12" s="765"/>
      <c r="K12" s="1769">
        <f>(H12+I12)-J12</f>
        <v>739619</v>
      </c>
      <c r="L12" s="1769">
        <f>F12-K12</f>
        <v>658746</v>
      </c>
    </row>
    <row r="13" spans="1:14" ht="14.25" thickTop="1" thickBot="1" x14ac:dyDescent="0.25">
      <c r="A13" s="848" t="s">
        <v>1122</v>
      </c>
      <c r="B13" s="840">
        <v>252</v>
      </c>
      <c r="C13" s="844">
        <v>1568056</v>
      </c>
      <c r="D13" s="844">
        <v>194950</v>
      </c>
      <c r="E13" s="844">
        <v>61000</v>
      </c>
      <c r="F13" s="1760">
        <f>(C13+D13)-E13</f>
        <v>1702006</v>
      </c>
      <c r="G13" s="843">
        <v>5</v>
      </c>
      <c r="H13" s="765">
        <v>1317965</v>
      </c>
      <c r="I13" s="765">
        <v>98552</v>
      </c>
      <c r="J13" s="765">
        <v>61000</v>
      </c>
      <c r="K13" s="1769">
        <f>(H13+I13)-J13</f>
        <v>1355517</v>
      </c>
      <c r="L13" s="1769">
        <f>F13-K13</f>
        <v>346489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36581849</v>
      </c>
      <c r="D16" s="1760">
        <f>SUM(D3,D5:D6,D8:D10,D12:D15)</f>
        <v>507195</v>
      </c>
      <c r="E16" s="1760">
        <f>SUM(E3,E5:E6,E8:E10,E12:E15)</f>
        <v>61000</v>
      </c>
      <c r="F16" s="1760">
        <f>SUM(F3,F5:F6,F8:F10,F12:F15)</f>
        <v>37028044</v>
      </c>
      <c r="G16" s="843"/>
      <c r="H16" s="1760">
        <f>SUM(H3,H6,H8:H10,H12:H14,)</f>
        <v>11477593</v>
      </c>
      <c r="I16" s="1760">
        <f>SUM(I3,I6,I8:I10,I12:I14,)</f>
        <v>838588</v>
      </c>
      <c r="J16" s="1760">
        <f>SUM(J3,J6,J8:J10,J12:J14,)</f>
        <v>61000</v>
      </c>
      <c r="K16" s="1760">
        <f>(H16+I16)-J16</f>
        <v>12255181</v>
      </c>
      <c r="L16" s="1760">
        <f>F16-K16</f>
        <v>24772863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838588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2" activePane="bottomLeft" state="frozen"/>
      <selection activeCell="F31" sqref="F31"/>
      <selection pane="bottomLeft" activeCell="F31" sqref="F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6988332</v>
      </c>
      <c r="G8" s="865"/>
    </row>
    <row r="9" spans="1:7" x14ac:dyDescent="0.2">
      <c r="A9" s="869" t="s">
        <v>460</v>
      </c>
      <c r="B9" s="870" t="s">
        <v>1876</v>
      </c>
      <c r="C9" s="871"/>
      <c r="D9" s="869" t="s">
        <v>501</v>
      </c>
      <c r="E9" s="868"/>
      <c r="F9" s="1909">
        <f>'Expenditures 15-22'!K151</f>
        <v>746909</v>
      </c>
      <c r="G9" s="872"/>
    </row>
    <row r="10" spans="1:7" x14ac:dyDescent="0.2">
      <c r="A10" s="869" t="s">
        <v>499</v>
      </c>
      <c r="B10" s="870" t="s">
        <v>1877</v>
      </c>
      <c r="C10" s="871"/>
      <c r="D10" s="869" t="s">
        <v>501</v>
      </c>
      <c r="E10" s="868"/>
      <c r="F10" s="1909">
        <f>'Expenditures 15-22'!K174</f>
        <v>1391369</v>
      </c>
      <c r="G10" s="872"/>
    </row>
    <row r="11" spans="1:7" x14ac:dyDescent="0.2">
      <c r="A11" s="869" t="s">
        <v>461</v>
      </c>
      <c r="B11" s="870" t="s">
        <v>1878</v>
      </c>
      <c r="C11" s="871"/>
      <c r="D11" s="869" t="s">
        <v>501</v>
      </c>
      <c r="E11" s="868"/>
      <c r="F11" s="1909">
        <f>'Expenditures 15-22'!K210</f>
        <v>508379</v>
      </c>
      <c r="G11" s="872"/>
    </row>
    <row r="12" spans="1:7" x14ac:dyDescent="0.2">
      <c r="A12" s="869" t="s">
        <v>462</v>
      </c>
      <c r="B12" s="870" t="s">
        <v>1879</v>
      </c>
      <c r="C12" s="871"/>
      <c r="D12" s="869" t="s">
        <v>501</v>
      </c>
      <c r="E12" s="868"/>
      <c r="F12" s="1909">
        <f>'Expenditures 15-22'!K295</f>
        <v>195987</v>
      </c>
      <c r="G12" s="872"/>
    </row>
    <row r="13" spans="1:7" x14ac:dyDescent="0.2">
      <c r="A13" s="869" t="s">
        <v>106</v>
      </c>
      <c r="B13" s="870" t="s">
        <v>1880</v>
      </c>
      <c r="C13" s="871"/>
      <c r="D13" s="869" t="s">
        <v>501</v>
      </c>
      <c r="E13" s="868"/>
      <c r="F13" s="1909">
        <f>'Expenditures 15-22'!K342</f>
        <v>390926</v>
      </c>
      <c r="G13" s="873"/>
    </row>
    <row r="14" spans="1:7" ht="12" customHeight="1" thickBot="1" x14ac:dyDescent="0.25">
      <c r="A14" s="1770"/>
      <c r="B14" s="1771"/>
      <c r="C14" s="1772"/>
      <c r="D14" s="1773" t="s">
        <v>501</v>
      </c>
      <c r="E14" s="1774" t="s">
        <v>958</v>
      </c>
      <c r="F14" s="1775">
        <f>SUM(F8:F13)</f>
        <v>10221902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166323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392467</v>
      </c>
      <c r="G53" s="865"/>
    </row>
    <row r="54" spans="1:7" x14ac:dyDescent="0.2">
      <c r="A54" s="869" t="s">
        <v>459</v>
      </c>
      <c r="B54" s="869" t="s">
        <v>1476</v>
      </c>
      <c r="C54" s="889" t="s">
        <v>982</v>
      </c>
      <c r="D54" s="885" t="s">
        <v>1095</v>
      </c>
      <c r="E54" s="868"/>
      <c r="F54" s="1913">
        <f>'Expenditures 15-22'!G114</f>
        <v>60688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990000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74798</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4928</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1689204</v>
      </c>
      <c r="G76" s="865"/>
    </row>
    <row r="77" spans="1:8" s="893" customFormat="1" ht="12" customHeight="1" thickTop="1" thickBot="1" x14ac:dyDescent="0.25">
      <c r="A77" s="1779"/>
      <c r="B77" s="1776"/>
      <c r="C77" s="1772"/>
      <c r="D77" s="1777" t="s">
        <v>1899</v>
      </c>
      <c r="E77" s="1774"/>
      <c r="F77" s="1780">
        <f>(F14-F76)</f>
        <v>8532698</v>
      </c>
      <c r="G77" s="869"/>
    </row>
    <row r="78" spans="1:8" s="893" customFormat="1" ht="12" customHeight="1" thickTop="1" x14ac:dyDescent="0.2">
      <c r="A78" s="1781"/>
      <c r="B78" s="1776"/>
      <c r="C78" s="1772"/>
      <c r="D78" s="1777" t="s">
        <v>2060</v>
      </c>
      <c r="E78" s="1774"/>
      <c r="F78" s="898">
        <v>912.4</v>
      </c>
      <c r="G78" s="899"/>
      <c r="H78" s="869"/>
    </row>
    <row r="79" spans="1:8" s="893" customFormat="1" ht="12" customHeight="1" thickBot="1" x14ac:dyDescent="0.25">
      <c r="A79" s="1782"/>
      <c r="B79" s="1776"/>
      <c r="C79" s="1772"/>
      <c r="D79" s="1777" t="s">
        <v>1900</v>
      </c>
      <c r="E79" s="1774" t="s">
        <v>958</v>
      </c>
      <c r="F79" s="1783">
        <f>IF(F78&gt;0,F77/F78," Complete Line 78")</f>
        <v>9351.9267864971498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4563</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279385</v>
      </c>
      <c r="G94" s="912"/>
    </row>
    <row r="95" spans="1:7" x14ac:dyDescent="0.2">
      <c r="A95" s="908" t="s">
        <v>140</v>
      </c>
      <c r="B95" s="908" t="s">
        <v>175</v>
      </c>
      <c r="C95" s="910">
        <v>1700</v>
      </c>
      <c r="D95" s="918" t="str">
        <f>'Revenues 9-14'!A82</f>
        <v>Total District/School Activity Income</v>
      </c>
      <c r="E95" s="906"/>
      <c r="F95" s="1789">
        <f>SUM('Revenues 9-14'!C82,'Revenues 9-14'!D82)</f>
        <v>50581</v>
      </c>
      <c r="G95" s="912"/>
    </row>
    <row r="96" spans="1:7" x14ac:dyDescent="0.2">
      <c r="A96" s="908" t="s">
        <v>459</v>
      </c>
      <c r="B96" s="908" t="s">
        <v>176</v>
      </c>
      <c r="C96" s="910">
        <f>'Revenues 9-14'!B84</f>
        <v>1811</v>
      </c>
      <c r="D96" s="911" t="str">
        <f>'Revenues 9-14'!A84</f>
        <v>Rentals - Regular Textbooks</v>
      </c>
      <c r="E96" s="906"/>
      <c r="F96" s="1789">
        <f>'Revenues 9-14'!C84</f>
        <v>70024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10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39194</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29495</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3098</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14998</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267980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2370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189803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156417</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9402</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135432</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24622</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7512</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1284886</v>
      </c>
    </row>
    <row r="175" spans="1:7" ht="12" customHeight="1" x14ac:dyDescent="0.2">
      <c r="A175" s="1770"/>
      <c r="B175" s="1784"/>
      <c r="C175" s="1785"/>
      <c r="D175" s="1786" t="s">
        <v>2055</v>
      </c>
      <c r="E175" s="1787"/>
      <c r="F175" s="1789">
        <f>'PCTC-OEPP 27-28'!F77-F174</f>
        <v>7247812</v>
      </c>
    </row>
    <row r="176" spans="1:7" ht="12" customHeight="1" x14ac:dyDescent="0.2">
      <c r="A176" s="1770"/>
      <c r="B176" s="1784"/>
      <c r="C176" s="1785"/>
      <c r="D176" s="1786" t="s">
        <v>1817</v>
      </c>
      <c r="E176" s="1787"/>
      <c r="F176" s="1789">
        <f>'Cap Outlay Deprec 26'!I18</f>
        <v>838588</v>
      </c>
    </row>
    <row r="177" spans="1:7" ht="12" customHeight="1" x14ac:dyDescent="0.2">
      <c r="A177" s="1770"/>
      <c r="B177" s="1784"/>
      <c r="C177" s="1785"/>
      <c r="D177" s="1786" t="s">
        <v>2056</v>
      </c>
      <c r="E177" s="1787"/>
      <c r="F177" s="1789">
        <f>F175+F176</f>
        <v>8086400</v>
      </c>
    </row>
    <row r="178" spans="1:7" ht="12" customHeight="1" x14ac:dyDescent="0.2">
      <c r="A178" s="1770"/>
      <c r="B178" s="1790"/>
      <c r="C178" s="1785"/>
      <c r="D178" s="1786" t="str">
        <f>D78</f>
        <v>9 Month ADA from District Average Daily Attendance/Prior General State Aid Inquiry 2018-2019</v>
      </c>
      <c r="E178" s="1787"/>
      <c r="F178" s="1791">
        <f>'PCTC-OEPP 27-28'!F78</f>
        <v>912.4</v>
      </c>
      <c r="G178" s="930"/>
    </row>
    <row r="179" spans="1:7" ht="12" customHeight="1" thickBot="1" x14ac:dyDescent="0.25">
      <c r="A179" s="1770"/>
      <c r="B179" s="1790"/>
      <c r="C179" s="1785"/>
      <c r="D179" s="1786" t="s">
        <v>2057</v>
      </c>
      <c r="E179" s="1787" t="s">
        <v>1545</v>
      </c>
      <c r="F179" s="1792">
        <f>F177/F178</f>
        <v>8862.7794826830341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18" sqref="B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2063</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1974</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2114</v>
      </c>
      <c r="B17" s="1940" t="s">
        <v>2116</v>
      </c>
      <c r="C17" s="1939" t="s">
        <v>2115</v>
      </c>
      <c r="D17" s="1844">
        <v>39353</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14353</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39353</v>
      </c>
      <c r="E141" s="1541">
        <f t="shared" si="0"/>
        <v>25000</v>
      </c>
      <c r="F141" s="1933">
        <f>SUM(F17:F140)</f>
        <v>25000</v>
      </c>
      <c r="G141" s="1795">
        <f>SUM(G17:G140)</f>
        <v>14353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F31" sqref="F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1975</v>
      </c>
      <c r="B11" s="2288"/>
      <c r="C11" s="2288"/>
      <c r="D11" s="2289"/>
      <c r="E11" s="977">
        <v>27326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4772236</v>
      </c>
      <c r="F19" s="1799"/>
      <c r="G19" s="1801">
        <f>'Expenditures 15-22'!K33-SUM('Expenditures 15-22'!G33,'Expenditures 15-22'!I33)+'Expenditures 15-22'!D229</f>
        <v>4772236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149926</v>
      </c>
      <c r="F21" s="1802"/>
      <c r="G21" s="1805">
        <f>'Expenditures 15-22'!K42-SUM('Expenditures 15-22'!G42,'Expenditures 15-22'!I42)+'Expenditures 15-22'!K120-SUM('Expenditures 15-22'!G120,'Expenditures 15-22'!I120)+'Expenditures 15-22'!K180-SUM('Expenditures 15-22'!G180,'Expenditures 15-22'!I180)+'Expenditures 15-22'!D238</f>
        <v>149926</v>
      </c>
      <c r="H21" s="987"/>
      <c r="I21" s="162"/>
    </row>
    <row r="22" spans="1:9" s="668" customFormat="1" ht="12" customHeight="1" x14ac:dyDescent="0.2">
      <c r="A22" s="994" t="s">
        <v>564</v>
      </c>
      <c r="B22" s="995"/>
      <c r="C22" s="993">
        <v>2200</v>
      </c>
      <c r="D22" s="1802"/>
      <c r="E22" s="1804">
        <f>'Expenditures 15-22'!K47-SUM('Expenditures 15-22'!G47,'Expenditures 15-22'!I47)+'Expenditures 15-22'!D243</f>
        <v>243493</v>
      </c>
      <c r="F22" s="1802"/>
      <c r="G22" s="1805">
        <f>'Expenditures 15-22'!K47-SUM('Expenditures 15-22'!G47,'Expenditures 15-22'!I47)+'Expenditures 15-22'!D243</f>
        <v>243493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609311</v>
      </c>
      <c r="F23" s="1802"/>
      <c r="G23" s="1804">
        <f>'Expenditures 15-22'!K53-SUM('Expenditures 15-22'!G53,'Expenditures 15-22'!I53)+'Expenditures 15-22'!D257+'Expenditures 15-22'!K330-SUM('Expenditures 15-22'!G330,'Expenditures 15-22'!I330)</f>
        <v>609311</v>
      </c>
      <c r="H23" s="987"/>
      <c r="I23" s="162"/>
    </row>
    <row r="24" spans="1:9" s="668" customFormat="1" ht="12" customHeight="1" x14ac:dyDescent="0.2">
      <c r="A24" s="994" t="s">
        <v>566</v>
      </c>
      <c r="B24" s="995"/>
      <c r="C24" s="993">
        <v>2400</v>
      </c>
      <c r="D24" s="1802"/>
      <c r="E24" s="1804">
        <f>'Expenditures 15-22'!K57-SUM('Expenditures 15-22'!G57,'Expenditures 15-22'!I57)+'Expenditures 15-22'!D261</f>
        <v>609015</v>
      </c>
      <c r="F24" s="1802"/>
      <c r="G24" s="1805">
        <f>'Expenditures 15-22'!K57-SUM('Expenditures 15-22'!G57,'Expenditures 15-22'!I57)+'Expenditures 15-22'!D261</f>
        <v>609015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153337</v>
      </c>
      <c r="E27" s="1804">
        <f>E8</f>
        <v>0</v>
      </c>
      <c r="F27" s="1804">
        <f>'Expenditures 15-22'!K60-SUM('Expenditures 15-22'!G60,'Expenditures 15-22'!I60)+'Expenditures 15-22'!D264-E8</f>
        <v>153337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786094</v>
      </c>
      <c r="F28" s="1806">
        <f>'Expenditures 15-22'!K61-SUM('Expenditures 15-22'!G61,'Expenditures 15-22'!I61)+'Expenditures 15-22'!K124-SUM('Expenditures 15-22'!G124,'Expenditures 15-22'!I124)+'Expenditures 15-22'!D266-E9</f>
        <v>786094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461015</v>
      </c>
      <c r="F29" s="1802"/>
      <c r="G29" s="1805">
        <f>'Expenditures 15-22'!K62-SUM('Expenditures 15-22'!G62,'Expenditures 15-22'!I62)+'Expenditures 15-22'!K125-SUM('Expenditures 15-22'!G125,'Expenditures 15-22'!I125)+'Expenditures 15-22'!K182-SUM('Expenditures 15-22'!G182,'Expenditures 15-22'!I182)+'Expenditures 15-22'!D267</f>
        <v>461015</v>
      </c>
      <c r="H29" s="985"/>
    </row>
    <row r="30" spans="1:9" ht="12" customHeight="1" x14ac:dyDescent="0.2">
      <c r="A30" s="994" t="s">
        <v>100</v>
      </c>
      <c r="B30" s="997"/>
      <c r="C30" s="993">
        <v>2560</v>
      </c>
      <c r="D30" s="1802"/>
      <c r="E30" s="1804">
        <f>'Expenditures 15-22'!K63-SUM('Expenditures 15-22'!G63,'Expenditures 15-22'!I63)+'Expenditures 15-22'!D268-E10</f>
        <v>403094</v>
      </c>
      <c r="F30" s="1802"/>
      <c r="G30" s="1804">
        <f>'Expenditures 15-22'!K63-SUM('Expenditures 15-22'!G63,'Expenditures 15-22'!I63)+'Expenditures 15-22'!D268-E10</f>
        <v>403094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115059</v>
      </c>
      <c r="E37" s="1804">
        <f>E14</f>
        <v>0</v>
      </c>
      <c r="F37" s="1804">
        <f>'Expenditures 15-22'!K71-SUM('Expenditures 15-22'!G71,'Expenditures 15-22'!I71)+'Expenditures 15-22'!D276-E14</f>
        <v>115059</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-14353</v>
      </c>
      <c r="F40" s="1802"/>
      <c r="G40" s="1806">
        <f>-'Contracts Paid in CY 29'!G141</f>
        <v>-14353</v>
      </c>
    </row>
    <row r="41" spans="1:7" ht="12" customHeight="1" x14ac:dyDescent="0.2">
      <c r="A41" s="998" t="s">
        <v>156</v>
      </c>
      <c r="B41" s="999"/>
      <c r="C41" s="1000"/>
      <c r="D41" s="1806">
        <f>SUM(D19:D39)</f>
        <v>268396</v>
      </c>
      <c r="E41" s="1806">
        <f>SUM(E19:E40)</f>
        <v>8019831</v>
      </c>
      <c r="F41" s="1806">
        <f>SUM(F19:F39)</f>
        <v>1054490</v>
      </c>
      <c r="G41" s="1806">
        <f>SUM(G19:G40)</f>
        <v>7233737</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268396</v>
      </c>
      <c r="F43" s="1807" t="s">
        <v>473</v>
      </c>
      <c r="G43" s="1808">
        <f>F41</f>
        <v>1054490</v>
      </c>
    </row>
    <row r="44" spans="1:7" ht="12" customHeight="1" x14ac:dyDescent="0.2">
      <c r="A44" s="987"/>
      <c r="B44" s="162"/>
      <c r="C44" s="1001"/>
      <c r="D44" s="1807" t="s">
        <v>474</v>
      </c>
      <c r="E44" s="1808">
        <f>E41</f>
        <v>8019831</v>
      </c>
      <c r="F44" s="1807" t="s">
        <v>474</v>
      </c>
      <c r="G44" s="1808">
        <f>G41</f>
        <v>7233737</v>
      </c>
    </row>
    <row r="45" spans="1:7" ht="12" customHeight="1" x14ac:dyDescent="0.2">
      <c r="A45" s="987"/>
      <c r="B45" s="162"/>
      <c r="C45" s="162"/>
      <c r="D45" s="1809" t="s">
        <v>1006</v>
      </c>
      <c r="E45" s="1810">
        <f>(E43/E44)</f>
        <v>3.3466540629098047E-2</v>
      </c>
      <c r="F45" s="1809" t="s">
        <v>1006</v>
      </c>
      <c r="G45" s="1810">
        <f>(G43/G44)</f>
        <v>0.14577389252608991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80" zoomScaleNormal="80" workbookViewId="0">
      <pane ySplit="4" topLeftCell="A5" activePane="bottomLeft" state="frozen"/>
      <selection activeCell="F31" sqref="F31"/>
      <selection pane="bottomLeft" activeCell="F31" sqref="F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3" t="s">
        <v>1379</v>
      </c>
      <c r="B1" s="2293"/>
      <c r="C1" s="2293"/>
      <c r="D1" s="2293"/>
      <c r="E1" s="2293"/>
      <c r="F1" s="2293"/>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4" t="s">
        <v>1546</v>
      </c>
      <c r="B5" s="2295"/>
      <c r="C5" s="2296"/>
      <c r="D5" s="2296"/>
      <c r="E5" s="2296"/>
      <c r="F5" s="2296"/>
    </row>
    <row r="6" spans="1:10" ht="12" customHeight="1" x14ac:dyDescent="0.25">
      <c r="A6" s="1850"/>
      <c r="B6" s="1851"/>
      <c r="C6" s="2297" t="str">
        <f>COVER!A17</f>
        <v>Warrensburg-Latham CUSD 11</v>
      </c>
      <c r="D6" s="2297"/>
      <c r="E6" s="2297"/>
      <c r="F6" s="1852"/>
    </row>
    <row r="7" spans="1:10" ht="11.25" customHeight="1" thickBot="1" x14ac:dyDescent="0.3">
      <c r="A7" s="1850"/>
      <c r="B7" s="1851"/>
      <c r="C7" s="2298">
        <f>COVER!A13</f>
        <v>39055011026</v>
      </c>
      <c r="D7" s="2298"/>
      <c r="E7" s="2298"/>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2083</v>
      </c>
      <c r="D26" s="1865" t="s">
        <v>2083</v>
      </c>
      <c r="E26" s="1868" t="s">
        <v>2083</v>
      </c>
      <c r="F26" s="1867" t="s">
        <v>2084</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2083</v>
      </c>
      <c r="D31" s="1865" t="s">
        <v>2083</v>
      </c>
      <c r="E31" s="1868" t="s">
        <v>2083</v>
      </c>
      <c r="F31" s="1867" t="s">
        <v>2085</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2083</v>
      </c>
      <c r="D33" s="1865" t="s">
        <v>2083</v>
      </c>
      <c r="E33" s="1868" t="s">
        <v>2083</v>
      </c>
      <c r="F33" s="1867" t="s">
        <v>2086</v>
      </c>
      <c r="H33" s="1878">
        <f t="shared" si="0"/>
        <v>5</v>
      </c>
      <c r="I33" s="1878">
        <f t="shared" si="1"/>
        <v>5</v>
      </c>
      <c r="J33" s="1878">
        <f t="shared" si="2"/>
        <v>5</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301"/>
      <c r="B43" s="2302"/>
      <c r="C43" s="2302"/>
      <c r="D43" s="2302"/>
      <c r="E43" s="2302"/>
      <c r="F43" s="2303"/>
      <c r="H43" s="1879"/>
      <c r="I43" s="1879"/>
      <c r="J43" s="1879"/>
      <c r="K43" s="1879"/>
    </row>
    <row r="44" spans="1:11" s="1870" customFormat="1" ht="12" hidden="1" customHeight="1" x14ac:dyDescent="0.25">
      <c r="A44" s="2301"/>
      <c r="B44" s="2302"/>
      <c r="C44" s="2302"/>
      <c r="D44" s="2302"/>
      <c r="E44" s="2302"/>
      <c r="F44" s="230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31" sqref="F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Warrensburg-Latham CUSD 11</v>
      </c>
      <c r="J6" s="2318"/>
      <c r="Q6" s="1664"/>
    </row>
    <row r="7" spans="1:17" x14ac:dyDescent="0.2">
      <c r="A7" s="2319" t="s">
        <v>869</v>
      </c>
      <c r="B7" s="2320"/>
      <c r="C7" s="2320"/>
      <c r="D7" s="2320"/>
      <c r="E7" s="2321"/>
      <c r="F7" s="1017"/>
      <c r="G7" s="1009"/>
      <c r="H7" s="1016" t="s">
        <v>372</v>
      </c>
      <c r="I7" s="2322">
        <f>COVER!A13</f>
        <v>39055011026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143011</v>
      </c>
      <c r="F12" s="1039"/>
      <c r="G12" s="1811">
        <f t="shared" ref="G12:G18" si="0">SUM(E12:F12)</f>
        <v>143011</v>
      </c>
      <c r="H12" s="1040">
        <v>147982</v>
      </c>
      <c r="I12" s="1039"/>
      <c r="J12" s="1811">
        <f t="shared" ref="J12:J18" si="1">SUM(H12:I12)</f>
        <v>147982</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143011</v>
      </c>
      <c r="F19" s="1813">
        <f t="shared" si="2"/>
        <v>0</v>
      </c>
      <c r="G19" s="1813">
        <f t="shared" si="2"/>
        <v>143011</v>
      </c>
      <c r="H19" s="1813">
        <f t="shared" si="2"/>
        <v>147982</v>
      </c>
      <c r="I19" s="1813">
        <f t="shared" si="2"/>
        <v>0</v>
      </c>
      <c r="J19" s="1813">
        <f t="shared" si="2"/>
        <v>147982</v>
      </c>
    </row>
    <row r="20" spans="1:10" ht="13.5" thickTop="1" x14ac:dyDescent="0.2">
      <c r="A20" s="1035">
        <v>9</v>
      </c>
      <c r="B20" s="2329" t="s">
        <v>1979</v>
      </c>
      <c r="C20" s="2329"/>
      <c r="D20" s="2330"/>
      <c r="E20" s="1046"/>
      <c r="F20" s="1046"/>
      <c r="G20" s="1046"/>
      <c r="H20" s="1046"/>
      <c r="I20" s="1046"/>
      <c r="J20" s="1814">
        <f>IF(AND(G19&gt;0,J19&gt;0),(((J19-G19)/G19)),"Enter Budget Data")</f>
        <v>3.4759563949626253E-2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1981</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F59"/>
  <sheetViews>
    <sheetView showGridLines="0" topLeftCell="A4" zoomScale="110" zoomScaleNormal="110" workbookViewId="0">
      <selection activeCell="T38" sqref="T38"/>
    </sheetView>
  </sheetViews>
  <sheetFormatPr defaultColWidth="9.140625" defaultRowHeight="12.75" x14ac:dyDescent="0.2"/>
  <cols>
    <col min="1" max="1" width="3" style="329" customWidth="1"/>
    <col min="2" max="2" width="2" style="329" customWidth="1"/>
    <col min="3" max="3" width="2.42578125" style="329" customWidth="1"/>
    <col min="4" max="4" width="40.5703125" style="329" customWidth="1"/>
    <col min="5" max="5" width="3.42578125" style="329" customWidth="1"/>
    <col min="6" max="6" width="8.140625" style="329" customWidth="1"/>
    <col min="7" max="16384" width="9.140625" style="329"/>
  </cols>
  <sheetData>
    <row r="2" spans="1:6" x14ac:dyDescent="0.2">
      <c r="A2" s="389" t="s">
        <v>258</v>
      </c>
    </row>
    <row r="3" spans="1:6" x14ac:dyDescent="0.2">
      <c r="A3" s="329" t="s">
        <v>259</v>
      </c>
    </row>
    <row r="5" spans="1:6" x14ac:dyDescent="0.2">
      <c r="A5" s="1068">
        <v>1</v>
      </c>
      <c r="B5" s="329" t="s">
        <v>2090</v>
      </c>
    </row>
    <row r="6" spans="1:6" x14ac:dyDescent="0.2">
      <c r="A6" s="1068">
        <v>2</v>
      </c>
      <c r="C6" s="329" t="s">
        <v>2091</v>
      </c>
    </row>
    <row r="7" spans="1:6" x14ac:dyDescent="0.2">
      <c r="A7" s="1068">
        <v>3</v>
      </c>
      <c r="D7" s="329" t="s">
        <v>2092</v>
      </c>
      <c r="E7" s="329" t="s">
        <v>958</v>
      </c>
      <c r="F7" s="1937">
        <v>8100</v>
      </c>
    </row>
    <row r="8" spans="1:6" x14ac:dyDescent="0.2">
      <c r="A8" s="1068">
        <v>4</v>
      </c>
      <c r="D8" s="329" t="s">
        <v>2106</v>
      </c>
      <c r="F8" s="1937">
        <v>10000</v>
      </c>
    </row>
    <row r="9" spans="1:6" x14ac:dyDescent="0.2">
      <c r="A9" s="1068"/>
      <c r="D9" s="329" t="s">
        <v>2107</v>
      </c>
      <c r="F9" s="1937">
        <v>18000</v>
      </c>
    </row>
    <row r="10" spans="1:6" x14ac:dyDescent="0.2">
      <c r="A10" s="1068"/>
      <c r="D10" s="329" t="s">
        <v>2108</v>
      </c>
      <c r="F10" s="1937">
        <v>7028</v>
      </c>
    </row>
    <row r="11" spans="1:6" x14ac:dyDescent="0.2">
      <c r="A11" s="1068"/>
      <c r="D11" s="329" t="s">
        <v>2109</v>
      </c>
      <c r="F11" s="1937">
        <v>9350</v>
      </c>
    </row>
    <row r="12" spans="1:6" x14ac:dyDescent="0.2">
      <c r="A12" s="1068"/>
      <c r="D12" s="329" t="s">
        <v>2110</v>
      </c>
      <c r="F12" s="1937">
        <v>6014</v>
      </c>
    </row>
    <row r="13" spans="1:6" x14ac:dyDescent="0.2">
      <c r="A13" s="1068"/>
      <c r="D13" s="329" t="s">
        <v>2111</v>
      </c>
      <c r="F13" s="1937">
        <v>549</v>
      </c>
    </row>
    <row r="14" spans="1:6" x14ac:dyDescent="0.2">
      <c r="A14" s="1068"/>
      <c r="D14" s="329" t="s">
        <v>2112</v>
      </c>
      <c r="F14" s="1937">
        <v>27958</v>
      </c>
    </row>
    <row r="15" spans="1:6" x14ac:dyDescent="0.2">
      <c r="A15" s="1069"/>
      <c r="C15" s="329" t="s">
        <v>6</v>
      </c>
    </row>
    <row r="16" spans="1:6" x14ac:dyDescent="0.2">
      <c r="A16" s="1069"/>
      <c r="D16" s="329" t="s">
        <v>2103</v>
      </c>
      <c r="F16" s="329">
        <v>6350</v>
      </c>
    </row>
    <row r="17" spans="1:6" x14ac:dyDescent="0.2">
      <c r="A17" s="1069"/>
      <c r="C17" s="329" t="s">
        <v>341</v>
      </c>
    </row>
    <row r="18" spans="1:6" x14ac:dyDescent="0.2">
      <c r="A18" s="1069"/>
      <c r="D18" s="329" t="s">
        <v>2113</v>
      </c>
      <c r="F18" s="329">
        <v>380</v>
      </c>
    </row>
    <row r="19" spans="1:6" x14ac:dyDescent="0.2">
      <c r="A19" s="1069"/>
    </row>
    <row r="20" spans="1:6" x14ac:dyDescent="0.2">
      <c r="A20" s="1069"/>
      <c r="B20" s="329" t="s">
        <v>2093</v>
      </c>
    </row>
    <row r="21" spans="1:6" x14ac:dyDescent="0.2">
      <c r="A21" s="1069"/>
      <c r="C21" s="329" t="s">
        <v>2091</v>
      </c>
    </row>
    <row r="22" spans="1:6" x14ac:dyDescent="0.2">
      <c r="A22" s="1069"/>
      <c r="D22" s="329" t="s">
        <v>2104</v>
      </c>
      <c r="E22" s="329" t="s">
        <v>958</v>
      </c>
      <c r="F22" s="329">
        <v>750</v>
      </c>
    </row>
    <row r="23" spans="1:6" x14ac:dyDescent="0.2">
      <c r="A23" s="1069"/>
      <c r="D23" s="329" t="s">
        <v>2105</v>
      </c>
      <c r="F23" s="329">
        <v>1620</v>
      </c>
    </row>
    <row r="24" spans="1:6" x14ac:dyDescent="0.2">
      <c r="A24" s="1069"/>
    </row>
    <row r="25" spans="1:6" x14ac:dyDescent="0.2">
      <c r="A25" s="1069"/>
      <c r="B25" s="329" t="s">
        <v>2094</v>
      </c>
    </row>
    <row r="26" spans="1:6" x14ac:dyDescent="0.2">
      <c r="A26" s="1069"/>
      <c r="C26" s="329" t="s">
        <v>2091</v>
      </c>
    </row>
    <row r="27" spans="1:6" x14ac:dyDescent="0.2">
      <c r="A27" s="1069"/>
      <c r="D27" s="329" t="s">
        <v>2098</v>
      </c>
      <c r="E27" s="329" t="s">
        <v>958</v>
      </c>
      <c r="F27" s="329">
        <v>3744</v>
      </c>
    </row>
    <row r="28" spans="1:6" x14ac:dyDescent="0.2">
      <c r="A28" s="1069"/>
    </row>
    <row r="29" spans="1:6" x14ac:dyDescent="0.2">
      <c r="A29" s="1069"/>
      <c r="B29" s="329" t="s">
        <v>2095</v>
      </c>
    </row>
    <row r="30" spans="1:6" x14ac:dyDescent="0.2">
      <c r="A30" s="1069"/>
      <c r="C30" s="329" t="s">
        <v>2096</v>
      </c>
    </row>
    <row r="31" spans="1:6" x14ac:dyDescent="0.2">
      <c r="A31" s="1069"/>
      <c r="D31" s="329" t="s">
        <v>2097</v>
      </c>
      <c r="E31" s="329" t="s">
        <v>958</v>
      </c>
      <c r="F31" s="1937">
        <v>1676</v>
      </c>
    </row>
    <row r="32" spans="1:6" x14ac:dyDescent="0.2">
      <c r="A32" s="1069"/>
      <c r="D32" s="329" t="s">
        <v>2099</v>
      </c>
      <c r="F32" s="1937">
        <v>1500</v>
      </c>
    </row>
    <row r="33" spans="1:6" x14ac:dyDescent="0.2">
      <c r="A33" s="1069"/>
      <c r="D33" s="329" t="s">
        <v>2100</v>
      </c>
      <c r="F33" s="1937">
        <v>108573</v>
      </c>
    </row>
    <row r="34" spans="1:6" x14ac:dyDescent="0.2">
      <c r="A34" s="1069"/>
    </row>
    <row r="35" spans="1:6" x14ac:dyDescent="0.2">
      <c r="A35" s="1069"/>
      <c r="B35" s="329" t="s">
        <v>2101</v>
      </c>
    </row>
    <row r="36" spans="1:6" x14ac:dyDescent="0.2">
      <c r="A36" s="1069"/>
      <c r="C36" s="329" t="s">
        <v>1157</v>
      </c>
    </row>
    <row r="37" spans="1:6" x14ac:dyDescent="0.2">
      <c r="A37" s="1069"/>
      <c r="D37" s="329" t="s">
        <v>2098</v>
      </c>
      <c r="E37" s="329" t="s">
        <v>2102</v>
      </c>
      <c r="F37" s="329">
        <v>287</v>
      </c>
    </row>
    <row r="38" spans="1:6" x14ac:dyDescent="0.2">
      <c r="A38" s="1069"/>
    </row>
    <row r="39" spans="1:6" x14ac:dyDescent="0.2">
      <c r="A39" s="1069"/>
    </row>
    <row r="40" spans="1:6" x14ac:dyDescent="0.2">
      <c r="A40" s="1069"/>
    </row>
    <row r="41" spans="1:6" x14ac:dyDescent="0.2">
      <c r="A41" s="1069"/>
    </row>
    <row r="42" spans="1:6" x14ac:dyDescent="0.2">
      <c r="A42" s="1069"/>
    </row>
    <row r="43" spans="1:6" x14ac:dyDescent="0.2">
      <c r="A43" s="1069"/>
    </row>
    <row r="44" spans="1:6" x14ac:dyDescent="0.2">
      <c r="A44" s="1069"/>
    </row>
    <row r="45" spans="1:6" x14ac:dyDescent="0.2">
      <c r="A45" s="1069"/>
    </row>
    <row r="46" spans="1:6" x14ac:dyDescent="0.2">
      <c r="A46" s="1069"/>
    </row>
    <row r="47" spans="1:6" x14ac:dyDescent="0.2">
      <c r="A47" s="1069"/>
    </row>
    <row r="48" spans="1:6"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c r="B58" s="258" t="str">
        <f>COVER!A17</f>
        <v>Warrensburg-Latham CUSD 11</v>
      </c>
    </row>
    <row r="59" spans="1:2" x14ac:dyDescent="0.2">
      <c r="B59" s="1070">
        <f>COVER!A13</f>
        <v>39055011026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31" sqref="F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F31" sqref="F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1986</v>
      </c>
      <c r="B4" s="2357"/>
      <c r="C4" s="2357"/>
      <c r="D4" s="2357"/>
      <c r="E4" s="2357"/>
      <c r="F4" s="2358"/>
      <c r="G4" s="1074"/>
      <c r="H4" s="1074"/>
    </row>
    <row r="5" spans="1:8" ht="14.25" customHeight="1" x14ac:dyDescent="0.2">
      <c r="A5" s="2359" t="s">
        <v>1982</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6686646</v>
      </c>
      <c r="C8" s="1815">
        <f>'Acct Summary 7-8'!D8</f>
        <v>668347</v>
      </c>
      <c r="D8" s="1815">
        <f>'Acct Summary 7-8'!F8</f>
        <v>548257</v>
      </c>
      <c r="E8" s="1815">
        <f>'Acct Summary 7-8'!I8</f>
        <v>108530</v>
      </c>
      <c r="F8" s="1815">
        <f>SUM(B8:E8)</f>
        <v>8011780</v>
      </c>
    </row>
    <row r="9" spans="1:8" s="1079" customFormat="1" ht="14.25" customHeight="1" thickBot="1" x14ac:dyDescent="0.25">
      <c r="A9" s="1078" t="s">
        <v>1369</v>
      </c>
      <c r="B9" s="1816">
        <f>'Acct Summary 7-8'!C17</f>
        <v>6988332</v>
      </c>
      <c r="C9" s="1816">
        <f>'Acct Summary 7-8'!D17</f>
        <v>746909</v>
      </c>
      <c r="D9" s="1816">
        <f>'Acct Summary 7-8'!F17</f>
        <v>508379</v>
      </c>
      <c r="E9" s="1815"/>
      <c r="F9" s="1815">
        <f>SUM(B9:E9)</f>
        <v>8243620</v>
      </c>
    </row>
    <row r="10" spans="1:8" s="1079" customFormat="1" ht="14.25" thickTop="1" thickBot="1" x14ac:dyDescent="0.25">
      <c r="A10" s="1080" t="s">
        <v>1370</v>
      </c>
      <c r="B10" s="1817">
        <f>(B8-B9)</f>
        <v>-301686</v>
      </c>
      <c r="C10" s="1817">
        <f>(C8-C9)</f>
        <v>-78562</v>
      </c>
      <c r="D10" s="1817">
        <f>(D8-D9)</f>
        <v>39878</v>
      </c>
      <c r="E10" s="1816">
        <f>(E8-E9)</f>
        <v>108530</v>
      </c>
      <c r="F10" s="1818">
        <f>SUM(F8-F9)</f>
        <v>-231840</v>
      </c>
    </row>
    <row r="11" spans="1:8" s="1079" customFormat="1" ht="14.25" thickTop="1" thickBot="1" x14ac:dyDescent="0.25">
      <c r="A11" s="1081" t="s">
        <v>1983</v>
      </c>
      <c r="B11" s="1819">
        <f>'Acct Summary 7-8'!C81</f>
        <v>1632655</v>
      </c>
      <c r="C11" s="1819">
        <f>'Acct Summary 7-8'!D81</f>
        <v>225708</v>
      </c>
      <c r="D11" s="1819">
        <f>'Acct Summary 7-8'!F81</f>
        <v>660787</v>
      </c>
      <c r="E11" s="1819">
        <f>'Acct Summary 7-8'!I81</f>
        <v>2681546</v>
      </c>
      <c r="F11" s="1820">
        <f>SUM(B11:E11)</f>
        <v>5200696</v>
      </c>
    </row>
    <row r="12" spans="1:8" ht="16.5" customHeight="1" thickTop="1" x14ac:dyDescent="0.2">
      <c r="A12" s="1082"/>
      <c r="B12" s="1083"/>
      <c r="C12" s="2341" t="str">
        <f>IF(AND(F10&lt;0,F11&gt;=0,ABS(F10*3)&gt;ABS(F11)),A16,IF(AND(F10&lt;0,F11&gt;0,ABS(F10*3)&lt;=ABS(F11)),A17,IF(AND(F10&lt;0,F11&lt;0),A16,IF(F11=0,A19,A18))))</f>
        <v>Unbalanced -  however, a deficit reduction plan is not required at this time.</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1" colorId="8" zoomScale="110" zoomScaleNormal="110" workbookViewId="0">
      <selection activeCell="F31" sqref="F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39055011026</v>
      </c>
    </row>
    <row r="3" spans="1:2" x14ac:dyDescent="0.2">
      <c r="A3" t="s">
        <v>956</v>
      </c>
      <c r="B3" s="138" t="str">
        <f>COVER!A15</f>
        <v>MACON</v>
      </c>
    </row>
    <row r="4" spans="1:2" x14ac:dyDescent="0.2">
      <c r="A4" t="s">
        <v>1007</v>
      </c>
      <c r="B4" s="138" t="str">
        <f>COVER!A17</f>
        <v>Warrensburg-Latham CUSD 11</v>
      </c>
    </row>
    <row r="5" spans="1:2" x14ac:dyDescent="0.2">
      <c r="A5" t="s">
        <v>704</v>
      </c>
      <c r="B5" s="138" t="str">
        <f>COVER!A38</f>
        <v>Dr. KRISTEN KENDRICK-WEIKLE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f>COVER!T23</f>
        <v>66.004384999999999</v>
      </c>
    </row>
    <row r="16" spans="1:2" x14ac:dyDescent="0.2">
      <c r="A16" t="s">
        <v>422</v>
      </c>
      <c r="B16" s="138" t="str">
        <f>COVER!T13</f>
        <v>FLOYD &amp; ASSOCIATES, CPAs</v>
      </c>
    </row>
    <row r="17" spans="1:2" x14ac:dyDescent="0.2">
      <c r="A17" t="s">
        <v>884</v>
      </c>
      <c r="B17" s="138" t="str">
        <f>COVER!T15</f>
        <v>JULIE M. FLOYD, CPA</v>
      </c>
    </row>
    <row r="18" spans="1:2" x14ac:dyDescent="0.2">
      <c r="A18" t="s">
        <v>1150</v>
      </c>
      <c r="B18" s="138" t="str">
        <f>COVER!T17</f>
        <v>910 STATE HIGHWAY 54 EAST</v>
      </c>
    </row>
    <row r="19" spans="1:2" x14ac:dyDescent="0.2">
      <c r="A19" t="s">
        <v>886</v>
      </c>
      <c r="B19" s="138">
        <f>COVER!T25</f>
        <v>0</v>
      </c>
    </row>
    <row r="20" spans="1:2" x14ac:dyDescent="0.2">
      <c r="A20" t="s">
        <v>887</v>
      </c>
      <c r="B20" s="138" t="str">
        <f>COVER!T19</f>
        <v>CLINTON</v>
      </c>
    </row>
    <row r="21" spans="1:2" x14ac:dyDescent="0.2">
      <c r="A21" t="s">
        <v>479</v>
      </c>
      <c r="B21" s="138" t="str">
        <f>COVER!X19</f>
        <v>IL</v>
      </c>
    </row>
    <row r="22" spans="1:2" x14ac:dyDescent="0.2">
      <c r="A22" t="s">
        <v>888</v>
      </c>
      <c r="B22" s="138">
        <f>COVER!Z19</f>
        <v>61727</v>
      </c>
    </row>
    <row r="23" spans="1:2" x14ac:dyDescent="0.2">
      <c r="A23" t="s">
        <v>1152</v>
      </c>
      <c r="B23" s="138" t="str">
        <f>COVER!T21</f>
        <v>217-935-8871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1431099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1632655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1632655</v>
      </c>
      <c r="D92" s="2" t="str">
        <f t="shared" si="0"/>
        <v>Error?</v>
      </c>
    </row>
    <row r="93" spans="1:4" x14ac:dyDescent="0.2">
      <c r="A93" s="5">
        <v>32</v>
      </c>
      <c r="B93" s="138">
        <f>'Assets-Liab 5-6'!C41</f>
        <v>1632655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210605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225708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225708</v>
      </c>
      <c r="D123" s="2" t="str">
        <f t="shared" si="0"/>
        <v>Error?</v>
      </c>
    </row>
    <row r="124" spans="1:4" x14ac:dyDescent="0.2">
      <c r="A124" s="5">
        <v>63</v>
      </c>
      <c r="B124" s="138">
        <f>'Assets-Liab 5-6'!D41</f>
        <v>225708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599242</v>
      </c>
      <c r="D129" s="2" t="str">
        <f t="shared" si="1"/>
        <v>Error?</v>
      </c>
    </row>
    <row r="130" spans="1:4" x14ac:dyDescent="0.2">
      <c r="A130" s="5">
        <v>69</v>
      </c>
      <c r="B130" s="138">
        <f>'Assets-Liab 5-6'!E12</f>
        <v>0</v>
      </c>
      <c r="D130" s="2" t="str">
        <f t="shared" si="1"/>
        <v>Error?</v>
      </c>
    </row>
    <row r="131" spans="1:4" x14ac:dyDescent="0.2">
      <c r="A131" s="5">
        <v>70</v>
      </c>
      <c r="B131" s="138">
        <f>'Assets-Liab 5-6'!E13</f>
        <v>599242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579638</v>
      </c>
      <c r="D140" s="2" t="str">
        <f t="shared" si="1"/>
        <v>Error?</v>
      </c>
    </row>
    <row r="141" spans="1:4" x14ac:dyDescent="0.2">
      <c r="A141" s="5">
        <v>80</v>
      </c>
      <c r="B141" s="138">
        <f>'Assets-Liab 5-6'!E41</f>
        <v>599242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643253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660787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660787</v>
      </c>
      <c r="D170" s="2" t="str">
        <f t="shared" si="1"/>
        <v>Error?</v>
      </c>
    </row>
    <row r="171" spans="1:4" x14ac:dyDescent="0.2">
      <c r="A171" s="5">
        <v>110</v>
      </c>
      <c r="B171" s="138">
        <f>'Assets-Liab 5-6'!F41</f>
        <v>660787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77918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85628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85628</v>
      </c>
      <c r="D189" s="2" t="str">
        <f t="shared" si="1"/>
        <v>Error?</v>
      </c>
    </row>
    <row r="190" spans="1:4" x14ac:dyDescent="0.2">
      <c r="A190" s="5">
        <v>129</v>
      </c>
      <c r="B190" s="138">
        <f>'Assets-Liab 5-6'!G41</f>
        <v>85628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1433612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1433648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1433648</v>
      </c>
      <c r="D212" s="2" t="str">
        <f t="shared" si="2"/>
        <v>Error?</v>
      </c>
    </row>
    <row r="213" spans="1:4" x14ac:dyDescent="0.2">
      <c r="A213" s="12">
        <v>152</v>
      </c>
      <c r="B213" s="138">
        <f>'Assets-Liab 5-6'!H41</f>
        <v>1433648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376107</v>
      </c>
      <c r="D273" s="2" t="str">
        <f t="shared" si="3"/>
        <v>Error?</v>
      </c>
    </row>
    <row r="274" spans="1:4" x14ac:dyDescent="0.2">
      <c r="A274" s="5">
        <v>213</v>
      </c>
      <c r="B274" s="138">
        <f>'Assets-Liab 5-6'!M17</f>
        <v>33551566</v>
      </c>
      <c r="D274" s="2" t="str">
        <f t="shared" si="3"/>
        <v>Error?</v>
      </c>
    </row>
    <row r="275" spans="1:4" x14ac:dyDescent="0.2">
      <c r="A275" s="5">
        <v>214</v>
      </c>
      <c r="B275" s="138">
        <f>'Assets-Liab 5-6'!M18</f>
        <v>0</v>
      </c>
      <c r="D275" s="2" t="str">
        <f t="shared" si="3"/>
        <v>Error?</v>
      </c>
    </row>
    <row r="276" spans="1:4" x14ac:dyDescent="0.2">
      <c r="A276" s="5">
        <v>215</v>
      </c>
      <c r="B276" s="138">
        <f>'Assets-Liab 5-6'!M19</f>
        <v>3100371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37028044</v>
      </c>
      <c r="C279" s="2" t="s">
        <v>573</v>
      </c>
      <c r="D279" s="2" t="str">
        <f t="shared" si="3"/>
        <v>Error?</v>
      </c>
    </row>
    <row r="280" spans="1:4" x14ac:dyDescent="0.2">
      <c r="A280" s="5">
        <v>219</v>
      </c>
      <c r="B280" s="138">
        <f>'Assets-Liab 5-6'!M40</f>
        <v>37028044</v>
      </c>
      <c r="D280" s="2" t="str">
        <f t="shared" si="3"/>
        <v>Error?</v>
      </c>
    </row>
    <row r="281" spans="1:4" x14ac:dyDescent="0.2">
      <c r="A281" s="5">
        <v>220</v>
      </c>
      <c r="B281" s="138">
        <f>'Assets-Liab 5-6'!M41</f>
        <v>37028044</v>
      </c>
      <c r="C281" s="2" t="s">
        <v>573</v>
      </c>
      <c r="D281" s="2" t="str">
        <f t="shared" si="3"/>
        <v>Error?</v>
      </c>
    </row>
    <row r="282" spans="1:4" x14ac:dyDescent="0.2">
      <c r="A282" s="5">
        <v>221</v>
      </c>
      <c r="B282" s="138">
        <f>'Assets-Liab 5-6'!N21</f>
        <v>599242</v>
      </c>
      <c r="D282" s="2" t="str">
        <f t="shared" si="3"/>
        <v>Error?</v>
      </c>
    </row>
    <row r="283" spans="1:4" x14ac:dyDescent="0.2">
      <c r="A283" s="5">
        <v>222</v>
      </c>
      <c r="B283" s="138">
        <f>'Assets-Liab 5-6'!N22</f>
        <v>10190758</v>
      </c>
      <c r="D283" s="2" t="str">
        <f t="shared" si="3"/>
        <v>Error?</v>
      </c>
    </row>
    <row r="284" spans="1:4" x14ac:dyDescent="0.2">
      <c r="A284" s="5">
        <v>223</v>
      </c>
      <c r="B284" s="138">
        <f>'Assets-Liab 5-6'!N23</f>
        <v>10790000</v>
      </c>
      <c r="C284" s="2" t="s">
        <v>573</v>
      </c>
      <c r="D284" s="2" t="str">
        <f t="shared" si="3"/>
        <v>Error?</v>
      </c>
    </row>
    <row r="285" spans="1:4" x14ac:dyDescent="0.2">
      <c r="A285" s="5">
        <v>224</v>
      </c>
      <c r="B285" s="138">
        <f>'Assets-Liab 5-6'!N36</f>
        <v>10790000</v>
      </c>
      <c r="D285" s="2" t="str">
        <f t="shared" si="3"/>
        <v>Error?</v>
      </c>
    </row>
    <row r="286" spans="1:4" x14ac:dyDescent="0.2">
      <c r="A286" s="10">
        <v>225</v>
      </c>
      <c r="D286" s="2" t="str">
        <f t="shared" si="3"/>
        <v>OK</v>
      </c>
    </row>
    <row r="287" spans="1:4" x14ac:dyDescent="0.2">
      <c r="A287" s="5">
        <v>226</v>
      </c>
      <c r="B287" s="138">
        <f>'Assets-Liab 5-6'!N37</f>
        <v>10790000</v>
      </c>
      <c r="C287" s="2" t="s">
        <v>573</v>
      </c>
      <c r="D287" s="2" t="str">
        <f t="shared" si="3"/>
        <v>Error?</v>
      </c>
    </row>
    <row r="288" spans="1:4" x14ac:dyDescent="0.2">
      <c r="A288" s="5">
        <v>227</v>
      </c>
      <c r="B288" s="138">
        <f>'Assets-Liab 5-6'!N41</f>
        <v>10790000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1565000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3149065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107464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3754147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79167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50993</v>
      </c>
      <c r="D725" s="2" t="str">
        <f t="shared" si="10"/>
        <v>Error?</v>
      </c>
    </row>
    <row r="726" spans="1:4" x14ac:dyDescent="0.2">
      <c r="A726" s="5">
        <v>665</v>
      </c>
      <c r="B726" s="138">
        <f>'Expenditures 15-22'!C41</f>
        <v>3744</v>
      </c>
      <c r="D726" s="2" t="str">
        <f t="shared" si="10"/>
        <v>Error?</v>
      </c>
    </row>
    <row r="727" spans="1:4" x14ac:dyDescent="0.2">
      <c r="A727" s="5">
        <v>666</v>
      </c>
      <c r="B727" s="138">
        <f>'Expenditures 15-22'!C42</f>
        <v>133904</v>
      </c>
      <c r="C727" s="2" t="s">
        <v>573</v>
      </c>
      <c r="D727" s="2" t="str">
        <f t="shared" si="10"/>
        <v>Error?</v>
      </c>
    </row>
    <row r="728" spans="1:4" x14ac:dyDescent="0.2">
      <c r="A728" s="5">
        <v>667</v>
      </c>
      <c r="B728" s="138">
        <f>'Expenditures 15-22'!C44</f>
        <v>65609</v>
      </c>
      <c r="D728" s="2" t="str">
        <f t="shared" si="10"/>
        <v>Error?</v>
      </c>
    </row>
    <row r="729" spans="1:4" x14ac:dyDescent="0.2">
      <c r="A729" s="5">
        <v>668</v>
      </c>
      <c r="B729" s="138">
        <f>'Expenditures 15-22'!C45</f>
        <v>64977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130586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119003</v>
      </c>
      <c r="D733" s="2" t="str">
        <f t="shared" si="10"/>
        <v>Error?</v>
      </c>
    </row>
    <row r="734" spans="1:4" x14ac:dyDescent="0.2">
      <c r="A734" s="5">
        <v>673</v>
      </c>
      <c r="B734" s="138">
        <f>'Expenditures 15-22'!C53</f>
        <v>119003</v>
      </c>
      <c r="C734" s="2" t="s">
        <v>573</v>
      </c>
      <c r="D734" s="2" t="str">
        <f t="shared" si="10"/>
        <v>Error?</v>
      </c>
    </row>
    <row r="735" spans="1:4" x14ac:dyDescent="0.2">
      <c r="A735" s="5">
        <v>674</v>
      </c>
      <c r="B735" s="138">
        <f>'Expenditures 15-22'!C55</f>
        <v>483488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483488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118038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91346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209384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1076365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4830512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559668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6643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638530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6784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6298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13082</v>
      </c>
      <c r="C785" s="2" t="s">
        <v>573</v>
      </c>
      <c r="D785" s="2" t="str">
        <f t="shared" si="11"/>
        <v>Error?</v>
      </c>
    </row>
    <row r="786" spans="1:4" x14ac:dyDescent="0.2">
      <c r="A786" s="5">
        <v>725</v>
      </c>
      <c r="B786" s="138">
        <f>'Expenditures 15-22'!D44</f>
        <v>12167</v>
      </c>
      <c r="D786" s="2" t="str">
        <f t="shared" si="11"/>
        <v>Error?</v>
      </c>
    </row>
    <row r="787" spans="1:4" x14ac:dyDescent="0.2">
      <c r="A787" s="5">
        <v>726</v>
      </c>
      <c r="B787" s="138">
        <f>'Expenditures 15-22'!D45</f>
        <v>13139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25306</v>
      </c>
      <c r="C789" s="2" t="s">
        <v>573</v>
      </c>
      <c r="D789" s="2" t="str">
        <f t="shared" si="11"/>
        <v>Error?</v>
      </c>
    </row>
    <row r="790" spans="1:4" x14ac:dyDescent="0.2">
      <c r="A790" s="5">
        <v>729</v>
      </c>
      <c r="B790" s="138">
        <f>'Expenditures 15-22'!D49</f>
        <v>3616</v>
      </c>
      <c r="D790" s="2" t="str">
        <f t="shared" si="11"/>
        <v>Error?</v>
      </c>
    </row>
    <row r="791" spans="1:4" x14ac:dyDescent="0.2">
      <c r="A791" s="5">
        <v>730</v>
      </c>
      <c r="B791" s="138">
        <f>'Expenditures 15-22'!D50</f>
        <v>22508</v>
      </c>
      <c r="D791" s="2" t="str">
        <f t="shared" si="11"/>
        <v>Error?</v>
      </c>
    </row>
    <row r="792" spans="1:4" x14ac:dyDescent="0.2">
      <c r="A792" s="5">
        <v>731</v>
      </c>
      <c r="B792" s="138">
        <f>'Expenditures 15-22'!D53</f>
        <v>26124</v>
      </c>
      <c r="C792" s="2" t="s">
        <v>573</v>
      </c>
      <c r="D792" s="2" t="str">
        <f t="shared" si="11"/>
        <v>Error?</v>
      </c>
    </row>
    <row r="793" spans="1:4" x14ac:dyDescent="0.2">
      <c r="A793" s="5">
        <v>732</v>
      </c>
      <c r="B793" s="138">
        <f>'Expenditures 15-22'!D55</f>
        <v>100813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100813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14510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29960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195285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833815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16368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31099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95485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23948</v>
      </c>
      <c r="D844" s="2" t="str">
        <f t="shared" si="12"/>
        <v>Error?</v>
      </c>
    </row>
    <row r="845" spans="1:4" x14ac:dyDescent="0.2">
      <c r="A845" s="5">
        <v>784</v>
      </c>
      <c r="B845" s="138">
        <f>'Expenditures 15-22'!E45</f>
        <v>4423</v>
      </c>
      <c r="D845" s="2" t="str">
        <f t="shared" si="12"/>
        <v>Error?</v>
      </c>
    </row>
    <row r="846" spans="1:4" x14ac:dyDescent="0.2">
      <c r="A846" s="5">
        <v>785</v>
      </c>
      <c r="B846" s="138">
        <f>'Expenditures 15-22'!E46</f>
        <v>2925</v>
      </c>
      <c r="D846" s="2" t="str">
        <f t="shared" si="12"/>
        <v>Error?</v>
      </c>
    </row>
    <row r="847" spans="1:4" x14ac:dyDescent="0.2">
      <c r="A847" s="5">
        <v>786</v>
      </c>
      <c r="B847" s="138">
        <f>'Expenditures 15-22'!E47</f>
        <v>31296</v>
      </c>
      <c r="C847" s="2" t="s">
        <v>573</v>
      </c>
      <c r="D847" s="2" t="str">
        <f t="shared" si="12"/>
        <v>Error?</v>
      </c>
    </row>
    <row r="848" spans="1:4" x14ac:dyDescent="0.2">
      <c r="A848" s="5">
        <v>787</v>
      </c>
      <c r="B848" s="138">
        <f>'Expenditures 15-22'!E49</f>
        <v>69850</v>
      </c>
      <c r="D848" s="2" t="str">
        <f t="shared" si="12"/>
        <v>Error?</v>
      </c>
    </row>
    <row r="849" spans="1:4" x14ac:dyDescent="0.2">
      <c r="A849" s="5">
        <v>788</v>
      </c>
      <c r="B849" s="138">
        <f>'Expenditures 15-22'!E50</f>
        <v>1500</v>
      </c>
      <c r="D849" s="2" t="str">
        <f t="shared" si="12"/>
        <v>Error?</v>
      </c>
    </row>
    <row r="850" spans="1:4" x14ac:dyDescent="0.2">
      <c r="A850" s="5">
        <v>789</v>
      </c>
      <c r="B850" s="138">
        <f>'Expenditures 15-22'!E53</f>
        <v>71350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789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85538</v>
      </c>
      <c r="D867" s="2" t="str">
        <f t="shared" si="12"/>
        <v>Error?</v>
      </c>
    </row>
    <row r="868" spans="1:4" x14ac:dyDescent="0.2">
      <c r="A868" s="10">
        <v>807</v>
      </c>
      <c r="D868" s="2" t="str">
        <f t="shared" si="12"/>
        <v>OK</v>
      </c>
    </row>
    <row r="869" spans="1:4" x14ac:dyDescent="0.2">
      <c r="A869" s="5">
        <v>808</v>
      </c>
      <c r="B869" s="138">
        <f>'Expenditures 15-22'!E72</f>
        <v>85538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188973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284458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86479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598</v>
      </c>
      <c r="D891" s="2" t="str">
        <f t="shared" si="12"/>
        <v>Error?</v>
      </c>
    </row>
    <row r="892" spans="1:4" x14ac:dyDescent="0.2">
      <c r="A892" s="5">
        <v>831</v>
      </c>
      <c r="B892" s="138">
        <f>'Expenditures 15-22'!F14</f>
        <v>13062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190997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43126</v>
      </c>
      <c r="D902" s="2" t="str">
        <f t="shared" si="13"/>
        <v>Error?</v>
      </c>
    </row>
    <row r="903" spans="1:4" x14ac:dyDescent="0.2">
      <c r="A903" s="5">
        <v>842</v>
      </c>
      <c r="B903" s="138">
        <f>'Expenditures 15-22'!F45</f>
        <v>12124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55250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3628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282296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285924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29521</v>
      </c>
      <c r="D925" s="2" t="str">
        <f t="shared" si="13"/>
        <v>Error?</v>
      </c>
    </row>
    <row r="926" spans="1:4" x14ac:dyDescent="0.2">
      <c r="A926" s="10">
        <v>865</v>
      </c>
      <c r="D926" s="2" t="str">
        <f t="shared" si="13"/>
        <v>OK</v>
      </c>
    </row>
    <row r="927" spans="1:4" x14ac:dyDescent="0.2">
      <c r="A927" s="5">
        <v>866</v>
      </c>
      <c r="B927" s="138">
        <f>'Expenditures 15-22'!F72</f>
        <v>29521</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370695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561692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16428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1834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1834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42426</v>
      </c>
      <c r="D983" s="2" t="str">
        <f t="shared" si="14"/>
        <v>Error?</v>
      </c>
    </row>
    <row r="984" spans="1:4" x14ac:dyDescent="0.2">
      <c r="A984" s="10">
        <v>923</v>
      </c>
      <c r="D984" s="2" t="str">
        <f t="shared" si="14"/>
        <v>OK</v>
      </c>
    </row>
    <row r="985" spans="1:4" x14ac:dyDescent="0.2">
      <c r="A985" s="5">
        <v>924</v>
      </c>
      <c r="B985" s="138">
        <f>'Expenditures 15-22'!G72</f>
        <v>42426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44260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60688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7941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24700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392467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417167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3811580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598</v>
      </c>
      <c r="C1105" s="2" t="s">
        <v>573</v>
      </c>
      <c r="D1105" s="2" t="str">
        <f t="shared" si="16"/>
        <v>Error?</v>
      </c>
    </row>
    <row r="1106" spans="1:4" x14ac:dyDescent="0.2">
      <c r="A1106" s="5">
        <v>1045</v>
      </c>
      <c r="B1106" s="138">
        <f>'Expenditures 15-22'!K14</f>
        <v>166209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4720287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85951</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57291</v>
      </c>
      <c r="C1113" s="2" t="s">
        <v>573</v>
      </c>
      <c r="D1113" s="2" t="str">
        <f t="shared" si="16"/>
        <v>Error?</v>
      </c>
    </row>
    <row r="1114" spans="1:4" x14ac:dyDescent="0.2">
      <c r="A1114" s="5">
        <v>1053</v>
      </c>
      <c r="B1114" s="138">
        <f>'Expenditures 15-22'!K41</f>
        <v>3744</v>
      </c>
      <c r="C1114" s="2" t="s">
        <v>573</v>
      </c>
      <c r="D1114" s="2" t="str">
        <f t="shared" si="16"/>
        <v>Error?</v>
      </c>
    </row>
    <row r="1115" spans="1:4" x14ac:dyDescent="0.2">
      <c r="A1115" s="5">
        <v>1054</v>
      </c>
      <c r="B1115" s="138">
        <f>'Expenditures 15-22'!K42</f>
        <v>146986</v>
      </c>
      <c r="C1115" s="2" t="s">
        <v>573</v>
      </c>
      <c r="D1115" s="2" t="str">
        <f t="shared" si="16"/>
        <v>Error?</v>
      </c>
    </row>
    <row r="1116" spans="1:4" x14ac:dyDescent="0.2">
      <c r="A1116" s="5">
        <v>1055</v>
      </c>
      <c r="B1116" s="138">
        <f>'Expenditures 15-22'!K44</f>
        <v>144850</v>
      </c>
      <c r="C1116" s="2" t="s">
        <v>573</v>
      </c>
      <c r="D1116" s="2" t="str">
        <f t="shared" si="16"/>
        <v>Error?</v>
      </c>
    </row>
    <row r="1117" spans="1:4" x14ac:dyDescent="0.2">
      <c r="A1117" s="5">
        <v>1056</v>
      </c>
      <c r="B1117" s="138">
        <f>'Expenditures 15-22'!K45</f>
        <v>96497</v>
      </c>
      <c r="C1117" s="2" t="s">
        <v>573</v>
      </c>
      <c r="D1117" s="2" t="str">
        <f t="shared" si="16"/>
        <v>Error?</v>
      </c>
    </row>
    <row r="1118" spans="1:4" x14ac:dyDescent="0.2">
      <c r="A1118" s="5">
        <v>1057</v>
      </c>
      <c r="B1118" s="138">
        <f>'Expenditures 15-22'!K46</f>
        <v>2925</v>
      </c>
      <c r="C1118" s="2" t="s">
        <v>573</v>
      </c>
      <c r="D1118" s="2" t="str">
        <f t="shared" si="16"/>
        <v>Error?</v>
      </c>
    </row>
    <row r="1119" spans="1:4" x14ac:dyDescent="0.2">
      <c r="A1119" s="5">
        <v>1058</v>
      </c>
      <c r="B1119" s="138">
        <f>'Expenditures 15-22'!K47</f>
        <v>244272</v>
      </c>
      <c r="C1119" s="2" t="s">
        <v>573</v>
      </c>
      <c r="D1119" s="2" t="str">
        <f t="shared" si="16"/>
        <v>Error?</v>
      </c>
    </row>
    <row r="1120" spans="1:4" x14ac:dyDescent="0.2">
      <c r="A1120" s="5">
        <v>1059</v>
      </c>
      <c r="B1120" s="138">
        <f>'Expenditures 15-22'!K49</f>
        <v>73466</v>
      </c>
      <c r="C1120" s="2" t="s">
        <v>573</v>
      </c>
      <c r="D1120" s="2" t="str">
        <f t="shared" si="16"/>
        <v>Error?</v>
      </c>
    </row>
    <row r="1121" spans="1:4" x14ac:dyDescent="0.2">
      <c r="A1121" s="5">
        <v>1060</v>
      </c>
      <c r="B1121" s="138">
        <f>'Expenditures 15-22'!K50</f>
        <v>143011</v>
      </c>
      <c r="C1121" s="2" t="s">
        <v>573</v>
      </c>
      <c r="D1121" s="2" t="str">
        <f t="shared" si="16"/>
        <v>Error?</v>
      </c>
    </row>
    <row r="1122" spans="1:4" x14ac:dyDescent="0.2">
      <c r="A1122" s="5">
        <v>1061</v>
      </c>
      <c r="B1122" s="138">
        <f>'Expenditures 15-22'!K53</f>
        <v>216477</v>
      </c>
      <c r="C1122" s="2" t="s">
        <v>573</v>
      </c>
      <c r="D1122" s="2" t="str">
        <f t="shared" si="16"/>
        <v>Error?</v>
      </c>
    </row>
    <row r="1123" spans="1:4" x14ac:dyDescent="0.2">
      <c r="A1123" s="5">
        <v>1062</v>
      </c>
      <c r="B1123" s="138">
        <f>'Expenditures 15-22'!K55</f>
        <v>584301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584301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137116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388941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526057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157485</v>
      </c>
      <c r="C1139" s="2" t="s">
        <v>573</v>
      </c>
      <c r="D1139" s="2" t="str">
        <f t="shared" si="16"/>
        <v>Error?</v>
      </c>
    </row>
    <row r="1140" spans="1:4" x14ac:dyDescent="0.2">
      <c r="A1140" s="10">
        <v>1079</v>
      </c>
      <c r="D1140" s="2" t="str">
        <f t="shared" si="16"/>
        <v>OK</v>
      </c>
    </row>
    <row r="1141" spans="1:4" x14ac:dyDescent="0.2">
      <c r="A1141" s="5">
        <v>1080</v>
      </c>
      <c r="B1141" s="138">
        <f>'Expenditures 15-22'!K72</f>
        <v>157485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1875578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392467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6988332</v>
      </c>
      <c r="C1152" s="2" t="s">
        <v>573</v>
      </c>
      <c r="D1152" s="2" t="str">
        <f t="shared" si="17"/>
        <v>Error?</v>
      </c>
    </row>
    <row r="1153" spans="1:4" x14ac:dyDescent="0.2">
      <c r="A1153" s="5">
        <v>1092</v>
      </c>
      <c r="B1153" s="138">
        <f>'Expenditures 15-22'!K115</f>
        <v>-301686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230658</v>
      </c>
      <c r="D1221" s="2" t="str">
        <f t="shared" si="18"/>
        <v>Error?</v>
      </c>
    </row>
    <row r="1222" spans="1:4" x14ac:dyDescent="0.2">
      <c r="A1222" s="10">
        <v>1161</v>
      </c>
      <c r="D1222" s="2" t="str">
        <f t="shared" si="18"/>
        <v>OK</v>
      </c>
    </row>
    <row r="1223" spans="1:4" x14ac:dyDescent="0.2">
      <c r="A1223" s="5">
        <v>1162</v>
      </c>
      <c r="B1223" s="138">
        <f>'Expenditures 15-22'!C127</f>
        <v>230658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230658</v>
      </c>
      <c r="C1225" s="2" t="s">
        <v>573</v>
      </c>
      <c r="D1225" s="2" t="str">
        <f t="shared" si="18"/>
        <v>Error?</v>
      </c>
    </row>
    <row r="1226" spans="1:4" x14ac:dyDescent="0.2">
      <c r="A1226" s="5">
        <v>1165</v>
      </c>
      <c r="B1226" s="138">
        <f>'Expenditures 15-22'!C151</f>
        <v>230658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40896</v>
      </c>
      <c r="D1229" s="2" t="str">
        <f t="shared" si="18"/>
        <v>Error?</v>
      </c>
    </row>
    <row r="1230" spans="1:4" x14ac:dyDescent="0.2">
      <c r="A1230" s="10">
        <v>1169</v>
      </c>
      <c r="D1230" s="2" t="str">
        <f t="shared" si="18"/>
        <v>OK</v>
      </c>
    </row>
    <row r="1231" spans="1:4" x14ac:dyDescent="0.2">
      <c r="A1231" s="5">
        <v>1170</v>
      </c>
      <c r="B1231" s="138">
        <f>'Expenditures 15-22'!D127</f>
        <v>40896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40896</v>
      </c>
      <c r="C1233" s="2" t="s">
        <v>573</v>
      </c>
      <c r="D1233" s="2" t="str">
        <f t="shared" si="18"/>
        <v>Error?</v>
      </c>
    </row>
    <row r="1234" spans="1:4" x14ac:dyDescent="0.2">
      <c r="A1234" s="5">
        <v>1173</v>
      </c>
      <c r="B1234" s="138">
        <f>'Expenditures 15-22'!D151</f>
        <v>40896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372870</v>
      </c>
      <c r="D1237" s="2" t="str">
        <f t="shared" si="18"/>
        <v>Error?</v>
      </c>
    </row>
    <row r="1238" spans="1:4" x14ac:dyDescent="0.2">
      <c r="A1238" s="10">
        <v>1177</v>
      </c>
      <c r="D1238" s="2" t="str">
        <f t="shared" si="18"/>
        <v>OK</v>
      </c>
    </row>
    <row r="1239" spans="1:4" x14ac:dyDescent="0.2">
      <c r="A1239" s="5">
        <v>1178</v>
      </c>
      <c r="B1239" s="138">
        <f>'Expenditures 15-22'!E127</f>
        <v>372870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372870</v>
      </c>
      <c r="C1241" s="2" t="s">
        <v>573</v>
      </c>
      <c r="D1241" s="2" t="str">
        <f t="shared" si="18"/>
        <v>Error?</v>
      </c>
    </row>
    <row r="1242" spans="1:4" x14ac:dyDescent="0.2">
      <c r="A1242" s="5">
        <v>1181</v>
      </c>
      <c r="B1242" s="138">
        <f>'Expenditures 15-22'!E151</f>
        <v>372870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102485</v>
      </c>
      <c r="D1245" s="2" t="str">
        <f t="shared" si="18"/>
        <v>Error?</v>
      </c>
    </row>
    <row r="1246" spans="1:4" x14ac:dyDescent="0.2">
      <c r="A1246" s="10">
        <v>1185</v>
      </c>
      <c r="D1246" s="2" t="str">
        <f t="shared" si="18"/>
        <v>OK</v>
      </c>
    </row>
    <row r="1247" spans="1:4" x14ac:dyDescent="0.2">
      <c r="A1247" s="5">
        <v>1186</v>
      </c>
      <c r="B1247" s="138">
        <f>'Expenditures 15-22'!F127</f>
        <v>102485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102485</v>
      </c>
      <c r="C1249" s="2" t="s">
        <v>573</v>
      </c>
      <c r="D1249" s="2" t="str">
        <f t="shared" si="18"/>
        <v>Error?</v>
      </c>
    </row>
    <row r="1250" spans="1:4" x14ac:dyDescent="0.2">
      <c r="A1250" s="5">
        <v>1189</v>
      </c>
      <c r="B1250" s="138">
        <f>'Expenditures 15-22'!F151</f>
        <v>102485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746909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746909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746909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746909</v>
      </c>
      <c r="C1288" s="2" t="s">
        <v>573</v>
      </c>
      <c r="D1288" s="2" t="str">
        <f t="shared" si="19"/>
        <v>Error?</v>
      </c>
    </row>
    <row r="1289" spans="1:4" x14ac:dyDescent="0.2">
      <c r="A1289" s="5">
        <v>1228</v>
      </c>
      <c r="B1289" s="138">
        <f>'Expenditures 15-22'!K152</f>
        <v>-78562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289620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990000</v>
      </c>
      <c r="D1315" s="2" t="str">
        <f t="shared" si="19"/>
        <v>Error?</v>
      </c>
    </row>
    <row r="1316" spans="1:4" x14ac:dyDescent="0.2">
      <c r="A1316" s="5">
        <v>1255</v>
      </c>
      <c r="B1316" s="138">
        <f>'Expenditures 15-22'!H171</f>
        <v>111749</v>
      </c>
      <c r="D1316" s="2" t="str">
        <f t="shared" si="19"/>
        <v>Error?</v>
      </c>
    </row>
    <row r="1317" spans="1:4" x14ac:dyDescent="0.2">
      <c r="A1317" s="5">
        <v>1256</v>
      </c>
      <c r="B1317" s="138">
        <f>'Expenditures 15-22'!H172</f>
        <v>1391369</v>
      </c>
      <c r="C1317" s="2" t="s">
        <v>573</v>
      </c>
      <c r="D1317" s="2" t="str">
        <f t="shared" si="19"/>
        <v>Error?</v>
      </c>
    </row>
    <row r="1318" spans="1:4" x14ac:dyDescent="0.2">
      <c r="A1318" s="5">
        <v>1257</v>
      </c>
      <c r="B1318" s="138">
        <f>'Expenditures 15-22'!H174</f>
        <v>1391369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289620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990000</v>
      </c>
      <c r="C1329" s="2" t="s">
        <v>573</v>
      </c>
      <c r="D1329" s="2" t="str">
        <f t="shared" si="19"/>
        <v>Error?</v>
      </c>
    </row>
    <row r="1330" spans="1:4" x14ac:dyDescent="0.2">
      <c r="A1330" s="5">
        <v>1269</v>
      </c>
      <c r="B1330" s="138">
        <f>'Expenditures 15-22'!K171</f>
        <v>111749</v>
      </c>
      <c r="C1330" s="2" t="s">
        <v>573</v>
      </c>
      <c r="D1330" s="2" t="str">
        <f t="shared" si="19"/>
        <v>Error?</v>
      </c>
    </row>
    <row r="1331" spans="1:4" x14ac:dyDescent="0.2">
      <c r="A1331" s="5">
        <v>1270</v>
      </c>
      <c r="B1331" s="138">
        <f>'Expenditures 15-22'!K172</f>
        <v>1391369</v>
      </c>
      <c r="C1331" s="2" t="s">
        <v>573</v>
      </c>
      <c r="D1331" s="2" t="str">
        <f t="shared" si="19"/>
        <v>Error?</v>
      </c>
    </row>
    <row r="1332" spans="1:4" x14ac:dyDescent="0.2">
      <c r="A1332" s="5">
        <v>1271</v>
      </c>
      <c r="B1332" s="138">
        <f>'Expenditures 15-22'!K174</f>
        <v>1391369</v>
      </c>
      <c r="C1332" s="2" t="s">
        <v>573</v>
      </c>
      <c r="D1332" s="2" t="str">
        <f t="shared" si="19"/>
        <v>Error?</v>
      </c>
    </row>
    <row r="1333" spans="1:4" x14ac:dyDescent="0.2">
      <c r="A1333" s="5">
        <v>1272</v>
      </c>
      <c r="B1333" s="138">
        <f>'Expenditures 15-22'!K175</f>
        <v>-63362</v>
      </c>
      <c r="C1333" s="2" t="s">
        <v>573</v>
      </c>
      <c r="D1333" s="2" t="str">
        <f t="shared" si="19"/>
        <v>Error?</v>
      </c>
    </row>
    <row r="1334" spans="1:4" x14ac:dyDescent="0.2">
      <c r="A1334" s="10">
        <v>1273</v>
      </c>
      <c r="D1334" s="2" t="str">
        <f t="shared" si="19"/>
        <v>OK</v>
      </c>
    </row>
    <row r="1335" spans="1:4" x14ac:dyDescent="0.2">
      <c r="A1335" s="5">
        <v>1274</v>
      </c>
      <c r="B1335" s="138">
        <f>'Expenditures 15-22'!C182</f>
        <v>286600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286600</v>
      </c>
      <c r="C1339" s="2" t="s">
        <v>573</v>
      </c>
      <c r="D1339" s="2" t="str">
        <f t="shared" si="19"/>
        <v>Error?</v>
      </c>
    </row>
    <row r="1340" spans="1:4" x14ac:dyDescent="0.2">
      <c r="A1340" s="5">
        <v>1279</v>
      </c>
      <c r="B1340" s="138">
        <f>'Expenditures 15-22'!C210</f>
        <v>286600</v>
      </c>
      <c r="C1340" s="2" t="s">
        <v>573</v>
      </c>
      <c r="D1340" s="2" t="str">
        <f t="shared" si="19"/>
        <v>Error?</v>
      </c>
    </row>
    <row r="1341" spans="1:4" x14ac:dyDescent="0.2">
      <c r="A1341" s="5">
        <v>1280</v>
      </c>
      <c r="B1341" s="138">
        <f>'Expenditures 15-22'!D182</f>
        <v>5449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5449</v>
      </c>
      <c r="C1345" s="2" t="s">
        <v>573</v>
      </c>
      <c r="D1345" s="2" t="str">
        <f t="shared" si="20"/>
        <v>Error?</v>
      </c>
    </row>
    <row r="1346" spans="1:4" x14ac:dyDescent="0.2">
      <c r="A1346" s="5">
        <v>1285</v>
      </c>
      <c r="B1346" s="138">
        <f>'Expenditures 15-22'!D210</f>
        <v>5449</v>
      </c>
      <c r="C1346" s="2" t="s">
        <v>573</v>
      </c>
      <c r="D1346" s="2" t="str">
        <f t="shared" si="20"/>
        <v>Error?</v>
      </c>
    </row>
    <row r="1347" spans="1:4" x14ac:dyDescent="0.2">
      <c r="A1347" s="5">
        <v>1286</v>
      </c>
      <c r="B1347" s="138">
        <f>'Expenditures 15-22'!E182</f>
        <v>37984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37984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37984</v>
      </c>
      <c r="C1353" s="2" t="s">
        <v>573</v>
      </c>
      <c r="D1353" s="2" t="str">
        <f t="shared" si="20"/>
        <v>Error?</v>
      </c>
    </row>
    <row r="1354" spans="1:4" x14ac:dyDescent="0.2">
      <c r="A1354" s="5">
        <v>1293</v>
      </c>
      <c r="B1354" s="138">
        <f>'Expenditures 15-22'!F182</f>
        <v>103548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103548</v>
      </c>
      <c r="C1358" s="2" t="s">
        <v>573</v>
      </c>
      <c r="D1358" s="2" t="str">
        <f t="shared" si="20"/>
        <v>Error?</v>
      </c>
    </row>
    <row r="1359" spans="1:4" x14ac:dyDescent="0.2">
      <c r="A1359" s="5">
        <v>1298</v>
      </c>
      <c r="B1359" s="138">
        <f>'Expenditures 15-22'!F210</f>
        <v>103548</v>
      </c>
      <c r="C1359" s="2" t="s">
        <v>573</v>
      </c>
      <c r="D1359" s="2" t="str">
        <f t="shared" si="20"/>
        <v>Error?</v>
      </c>
    </row>
    <row r="1360" spans="1:4" x14ac:dyDescent="0.2">
      <c r="A1360" s="5">
        <v>1299</v>
      </c>
      <c r="B1360" s="138">
        <f>'Expenditures 15-22'!G182</f>
        <v>74798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74798</v>
      </c>
      <c r="C1364" s="2" t="s">
        <v>573</v>
      </c>
      <c r="D1364" s="2" t="str">
        <f t="shared" si="20"/>
        <v>Error?</v>
      </c>
    </row>
    <row r="1365" spans="1:4" x14ac:dyDescent="0.2">
      <c r="A1365" s="5">
        <v>1304</v>
      </c>
      <c r="B1365" s="138">
        <f>'Expenditures 15-22'!G210</f>
        <v>74798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508379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508379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508379</v>
      </c>
      <c r="C1388" s="2" t="s">
        <v>573</v>
      </c>
      <c r="D1388" s="2" t="str">
        <f t="shared" si="20"/>
        <v>Error?</v>
      </c>
    </row>
    <row r="1389" spans="1:4" x14ac:dyDescent="0.2">
      <c r="A1389" s="5">
        <v>1328</v>
      </c>
      <c r="B1389" s="138">
        <f>'Expenditures 15-22'!K211</f>
        <v>39878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3156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68377</v>
      </c>
      <c r="C1410" s="2" t="s">
        <v>573</v>
      </c>
      <c r="D1410" s="2" t="str">
        <f t="shared" si="21"/>
        <v>Error?</v>
      </c>
    </row>
    <row r="1411" spans="1:4" x14ac:dyDescent="0.2">
      <c r="A1411" s="5">
        <v>1350</v>
      </c>
      <c r="B1411" s="138">
        <f>'Expenditures 15-22'!D232</f>
        <v>820</v>
      </c>
      <c r="D1411" s="2" t="str">
        <f t="shared" si="21"/>
        <v>Error?</v>
      </c>
    </row>
    <row r="1412" spans="1:4" x14ac:dyDescent="0.2">
      <c r="A1412" s="5">
        <v>1351</v>
      </c>
      <c r="B1412" s="138">
        <f>'Expenditures 15-22'!D233</f>
        <v>1111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722</v>
      </c>
      <c r="D1415" s="2" t="str">
        <f t="shared" si="21"/>
        <v>Error?</v>
      </c>
    </row>
    <row r="1416" spans="1:4" x14ac:dyDescent="0.2">
      <c r="A1416" s="5">
        <v>1355</v>
      </c>
      <c r="B1416" s="138">
        <f>'Expenditures 15-22'!D237</f>
        <v>287</v>
      </c>
      <c r="D1416" s="2" t="str">
        <f t="shared" si="21"/>
        <v>Error?</v>
      </c>
    </row>
    <row r="1417" spans="1:4" x14ac:dyDescent="0.2">
      <c r="A1417" s="5">
        <v>1356</v>
      </c>
      <c r="B1417" s="138">
        <f>'Expenditures 15-22'!D238</f>
        <v>2940</v>
      </c>
      <c r="C1417" s="2" t="s">
        <v>573</v>
      </c>
      <c r="D1417" s="2" t="str">
        <f t="shared" si="21"/>
        <v>Error?</v>
      </c>
    </row>
    <row r="1418" spans="1:4" x14ac:dyDescent="0.2">
      <c r="A1418" s="5">
        <v>1357</v>
      </c>
      <c r="B1418" s="138">
        <f>'Expenditures 15-22'!D240</f>
        <v>122</v>
      </c>
      <c r="D1418" s="2" t="str">
        <f t="shared" si="21"/>
        <v>Error?</v>
      </c>
    </row>
    <row r="1419" spans="1:4" x14ac:dyDescent="0.2">
      <c r="A1419" s="5">
        <v>1358</v>
      </c>
      <c r="B1419" s="138">
        <f>'Expenditures 15-22'!D241</f>
        <v>933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1055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1908</v>
      </c>
      <c r="D1423" s="2" t="str">
        <f t="shared" si="21"/>
        <v>Error?</v>
      </c>
    </row>
    <row r="1424" spans="1:4" x14ac:dyDescent="0.2">
      <c r="A1424" s="5">
        <v>1363</v>
      </c>
      <c r="B1424" s="138">
        <f>'Expenditures 15-22'!D257</f>
        <v>1908</v>
      </c>
      <c r="C1424" s="2" t="s">
        <v>573</v>
      </c>
      <c r="D1424" s="2" t="str">
        <f t="shared" si="21"/>
        <v>Error?</v>
      </c>
    </row>
    <row r="1425" spans="1:4" x14ac:dyDescent="0.2">
      <c r="A1425" s="5">
        <v>1364</v>
      </c>
      <c r="B1425" s="138">
        <f>'Expenditures 15-22'!D259</f>
        <v>24714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24714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16221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39185</v>
      </c>
      <c r="D1431" s="2" t="str">
        <f t="shared" si="21"/>
        <v>Error?</v>
      </c>
    </row>
    <row r="1432" spans="1:4" x14ac:dyDescent="0.2">
      <c r="A1432" s="5">
        <v>1371</v>
      </c>
      <c r="B1432" s="138">
        <f>'Expenditures 15-22'!D267</f>
        <v>27434</v>
      </c>
      <c r="D1432" s="2" t="str">
        <f t="shared" si="21"/>
        <v>Error?</v>
      </c>
    </row>
    <row r="1433" spans="1:4" x14ac:dyDescent="0.2">
      <c r="A1433" s="5">
        <v>1372</v>
      </c>
      <c r="B1433" s="138">
        <f>'Expenditures 15-22'!D268</f>
        <v>14153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96993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127610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195987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3156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68377</v>
      </c>
      <c r="C1474" s="2" t="s">
        <v>573</v>
      </c>
      <c r="D1474" s="2" t="str">
        <f t="shared" si="22"/>
        <v>Error?</v>
      </c>
    </row>
    <row r="1475" spans="1:4" x14ac:dyDescent="0.2">
      <c r="A1475" s="5">
        <v>1414</v>
      </c>
      <c r="B1475" s="138">
        <f>'Expenditures 15-22'!K232</f>
        <v>820</v>
      </c>
      <c r="C1475" s="2" t="s">
        <v>573</v>
      </c>
      <c r="D1475" s="2" t="str">
        <f t="shared" si="22"/>
        <v>Error?</v>
      </c>
    </row>
    <row r="1476" spans="1:4" x14ac:dyDescent="0.2">
      <c r="A1476" s="5">
        <v>1415</v>
      </c>
      <c r="B1476" s="138">
        <f>'Expenditures 15-22'!K233</f>
        <v>1111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722</v>
      </c>
      <c r="C1479" s="2" t="s">
        <v>573</v>
      </c>
      <c r="D1479" s="2" t="str">
        <f t="shared" si="22"/>
        <v>Error?</v>
      </c>
    </row>
    <row r="1480" spans="1:4" x14ac:dyDescent="0.2">
      <c r="A1480" s="5">
        <v>1419</v>
      </c>
      <c r="B1480" s="138">
        <f>'Expenditures 15-22'!K237</f>
        <v>287</v>
      </c>
      <c r="C1480" s="2" t="s">
        <v>573</v>
      </c>
      <c r="D1480" s="2" t="str">
        <f t="shared" si="22"/>
        <v>Error?</v>
      </c>
    </row>
    <row r="1481" spans="1:4" x14ac:dyDescent="0.2">
      <c r="A1481" s="5">
        <v>1420</v>
      </c>
      <c r="B1481" s="138">
        <f>'Expenditures 15-22'!K238</f>
        <v>2940</v>
      </c>
      <c r="C1481" s="2" t="s">
        <v>573</v>
      </c>
      <c r="D1481" s="2" t="str">
        <f t="shared" si="22"/>
        <v>Error?</v>
      </c>
    </row>
    <row r="1482" spans="1:4" x14ac:dyDescent="0.2">
      <c r="A1482" s="5">
        <v>1421</v>
      </c>
      <c r="B1482" s="138">
        <f>'Expenditures 15-22'!K240</f>
        <v>122</v>
      </c>
      <c r="C1482" s="2" t="s">
        <v>573</v>
      </c>
      <c r="D1482" s="2" t="str">
        <f t="shared" si="22"/>
        <v>Error?</v>
      </c>
    </row>
    <row r="1483" spans="1:4" x14ac:dyDescent="0.2">
      <c r="A1483" s="5">
        <v>1422</v>
      </c>
      <c r="B1483" s="138">
        <f>'Expenditures 15-22'!K241</f>
        <v>933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1055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1908</v>
      </c>
      <c r="C1487" s="2" t="s">
        <v>573</v>
      </c>
      <c r="D1487" s="2" t="str">
        <f t="shared" si="22"/>
        <v>Error?</v>
      </c>
    </row>
    <row r="1488" spans="1:4" x14ac:dyDescent="0.2">
      <c r="A1488" s="5">
        <v>1427</v>
      </c>
      <c r="B1488" s="138">
        <f>'Expenditures 15-22'!K257</f>
        <v>1908</v>
      </c>
      <c r="C1488" s="2" t="s">
        <v>573</v>
      </c>
      <c r="D1488" s="2" t="str">
        <f t="shared" si="22"/>
        <v>Error?</v>
      </c>
    </row>
    <row r="1489" spans="1:4" x14ac:dyDescent="0.2">
      <c r="A1489" s="5">
        <v>1428</v>
      </c>
      <c r="B1489" s="138">
        <f>'Expenditures 15-22'!K259</f>
        <v>24714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24714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16221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39185</v>
      </c>
      <c r="C1495" s="2" t="s">
        <v>573</v>
      </c>
      <c r="D1495" s="2" t="str">
        <f t="shared" si="22"/>
        <v>Error?</v>
      </c>
    </row>
    <row r="1496" spans="1:4" x14ac:dyDescent="0.2">
      <c r="A1496" s="5">
        <v>1435</v>
      </c>
      <c r="B1496" s="138">
        <f>'Expenditures 15-22'!K267</f>
        <v>27434</v>
      </c>
      <c r="C1496" s="2" t="s">
        <v>573</v>
      </c>
      <c r="D1496" s="2" t="str">
        <f t="shared" si="22"/>
        <v>Error?</v>
      </c>
    </row>
    <row r="1497" spans="1:4" x14ac:dyDescent="0.2">
      <c r="A1497" s="5">
        <v>1436</v>
      </c>
      <c r="B1497" s="138">
        <f>'Expenditures 15-22'!K268</f>
        <v>14153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96993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127610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195987</v>
      </c>
      <c r="C1517" s="2" t="s">
        <v>573</v>
      </c>
      <c r="D1517" s="2" t="str">
        <f t="shared" si="22"/>
        <v>Error?</v>
      </c>
    </row>
    <row r="1518" spans="1:4" x14ac:dyDescent="0.2">
      <c r="A1518" s="5">
        <v>1457</v>
      </c>
      <c r="B1518" s="138">
        <f>'Expenditures 15-22'!K296</f>
        <v>12304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164949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164949</v>
      </c>
      <c r="C1541" s="2" t="s">
        <v>573</v>
      </c>
      <c r="D1541" s="2" t="str">
        <f t="shared" si="23"/>
        <v>Error?</v>
      </c>
    </row>
    <row r="1542" spans="1:4" x14ac:dyDescent="0.2">
      <c r="A1542" s="5">
        <v>1481</v>
      </c>
      <c r="B1542" s="138">
        <f>'Expenditures 15-22'!F312</f>
        <v>164949</v>
      </c>
      <c r="C1542" s="2" t="s">
        <v>573</v>
      </c>
      <c r="D1542" s="2" t="str">
        <f t="shared" si="23"/>
        <v>Error?</v>
      </c>
    </row>
    <row r="1543" spans="1:4" x14ac:dyDescent="0.2">
      <c r="A1543" s="5">
        <v>1482</v>
      </c>
      <c r="B1543" s="138">
        <f>'Expenditures 15-22'!G301</f>
        <v>371709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371709</v>
      </c>
      <c r="C1547" s="2" t="s">
        <v>573</v>
      </c>
      <c r="D1547" s="2" t="str">
        <f t="shared" si="23"/>
        <v>Error?</v>
      </c>
    </row>
    <row r="1548" spans="1:4" x14ac:dyDescent="0.2">
      <c r="A1548" s="5">
        <v>1487</v>
      </c>
      <c r="B1548" s="138">
        <f>'Expenditures 15-22'!G312</f>
        <v>371709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536658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536658</v>
      </c>
      <c r="C1559" s="2" t="s">
        <v>573</v>
      </c>
      <c r="D1559" s="2" t="str">
        <f t="shared" si="23"/>
        <v>Error?</v>
      </c>
    </row>
    <row r="1560" spans="1:4" x14ac:dyDescent="0.2">
      <c r="A1560" s="5">
        <v>1499</v>
      </c>
      <c r="B1560" s="138">
        <f>'Expenditures 15-22'!K312</f>
        <v>536658</v>
      </c>
      <c r="C1560" s="2" t="s">
        <v>573</v>
      </c>
      <c r="D1560" s="2" t="str">
        <f t="shared" si="23"/>
        <v>Error?</v>
      </c>
    </row>
    <row r="1561" spans="1:4" x14ac:dyDescent="0.2">
      <c r="A1561" s="5">
        <v>1500</v>
      </c>
      <c r="B1561" s="138">
        <f>'Expenditures 15-22'!K313</f>
        <v>-56039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1341397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1632655</v>
      </c>
      <c r="C1630" s="2" t="s">
        <v>573</v>
      </c>
      <c r="D1630" s="2" t="str">
        <f t="shared" si="24"/>
        <v>Error?</v>
      </c>
    </row>
    <row r="1631" spans="1:4" x14ac:dyDescent="0.2">
      <c r="A1631" s="5">
        <v>1570</v>
      </c>
      <c r="B1631" s="138">
        <f>'Acct Summary 7-8'!D79</f>
        <v>304270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225708</v>
      </c>
      <c r="C1644" s="2" t="s">
        <v>573</v>
      </c>
      <c r="D1644" s="2" t="str">
        <f t="shared" si="24"/>
        <v>Error?</v>
      </c>
    </row>
    <row r="1645" spans="1:4" x14ac:dyDescent="0.2">
      <c r="A1645" s="5">
        <v>1584</v>
      </c>
      <c r="B1645" s="138">
        <f>'Acct Summary 7-8'!E79</f>
        <v>615548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599242</v>
      </c>
      <c r="C1658" s="2" t="s">
        <v>573</v>
      </c>
      <c r="D1658" s="2" t="str">
        <f t="shared" si="24"/>
        <v>Error?</v>
      </c>
    </row>
    <row r="1659" spans="1:4" x14ac:dyDescent="0.2">
      <c r="A1659" s="5">
        <v>1598</v>
      </c>
      <c r="B1659" s="138">
        <f>'Acct Summary 7-8'!F79</f>
        <v>620909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660787</v>
      </c>
      <c r="C1672" s="2" t="s">
        <v>573</v>
      </c>
      <c r="D1672" s="2" t="str">
        <f t="shared" si="25"/>
        <v>Error?</v>
      </c>
    </row>
    <row r="1673" spans="1:4" x14ac:dyDescent="0.2">
      <c r="A1673" s="5">
        <v>1612</v>
      </c>
      <c r="B1673" s="138">
        <f>'Acct Summary 7-8'!G79</f>
        <v>73324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85628</v>
      </c>
      <c r="C1686" s="2" t="s">
        <v>573</v>
      </c>
      <c r="D1686" s="2" t="str">
        <f t="shared" si="25"/>
        <v>Error?</v>
      </c>
    </row>
    <row r="1687" spans="1:4" x14ac:dyDescent="0.2">
      <c r="A1687" s="5">
        <v>1626</v>
      </c>
      <c r="B1687" s="138">
        <f>'Acct Summary 7-8'!H79</f>
        <v>1989687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1433648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3031608</v>
      </c>
      <c r="C1744" s="2" t="s">
        <v>573</v>
      </c>
      <c r="D1744" s="2" t="str">
        <f t="shared" si="26"/>
        <v>Error?</v>
      </c>
    </row>
    <row r="1745" spans="1:5" x14ac:dyDescent="0.2">
      <c r="A1745" s="5">
        <v>1684</v>
      </c>
      <c r="B1745" s="138">
        <f>'Tax Sched 23'!B5</f>
        <v>650560</v>
      </c>
      <c r="C1745" s="2" t="s">
        <v>573</v>
      </c>
      <c r="D1745" s="2" t="str">
        <f t="shared" si="26"/>
        <v>Error?</v>
      </c>
    </row>
    <row r="1746" spans="1:5" x14ac:dyDescent="0.2">
      <c r="A1746" s="5">
        <v>1685</v>
      </c>
      <c r="B1746" s="138">
        <f>'Tax Sched 23'!B6</f>
        <v>1166164</v>
      </c>
      <c r="C1746" s="2" t="s">
        <v>573</v>
      </c>
      <c r="D1746" s="2" t="str">
        <f t="shared" si="26"/>
        <v>Error?</v>
      </c>
    </row>
    <row r="1747" spans="1:5" x14ac:dyDescent="0.2">
      <c r="A1747" s="5">
        <v>1686</v>
      </c>
      <c r="B1747" s="138">
        <f>'Tax Sched 23'!B7</f>
        <v>260224</v>
      </c>
      <c r="C1747" s="2" t="s">
        <v>573</v>
      </c>
      <c r="D1747" s="2" t="str">
        <f t="shared" si="26"/>
        <v>Error?</v>
      </c>
    </row>
    <row r="1748" spans="1:5" x14ac:dyDescent="0.2">
      <c r="A1748" s="5">
        <v>1687</v>
      </c>
      <c r="B1748" s="138">
        <f>'Tax Sched 23'!B8</f>
        <v>59760</v>
      </c>
      <c r="C1748" s="2" t="s">
        <v>573</v>
      </c>
      <c r="D1748" s="2" t="str">
        <f t="shared" si="26"/>
        <v>Error?</v>
      </c>
    </row>
    <row r="1749" spans="1:5" x14ac:dyDescent="0.2">
      <c r="A1749" s="5">
        <v>1688</v>
      </c>
      <c r="B1749" s="138">
        <f>'Tax Sched 23'!B10</f>
        <v>65056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409228</v>
      </c>
      <c r="C1752" s="2" t="s">
        <v>573</v>
      </c>
      <c r="D1752" s="2" t="str">
        <f t="shared" si="26"/>
        <v>Error?</v>
      </c>
    </row>
    <row r="1753" spans="1:5" x14ac:dyDescent="0.2">
      <c r="A1753" s="5">
        <v>1692</v>
      </c>
      <c r="B1753" s="138">
        <f>'Tax Sched 23'!B12</f>
        <v>65056</v>
      </c>
      <c r="C1753" s="2" t="s">
        <v>573</v>
      </c>
      <c r="D1753" s="2" t="str">
        <f t="shared" si="26"/>
        <v>Error?</v>
      </c>
    </row>
    <row r="1754" spans="1:5" x14ac:dyDescent="0.2">
      <c r="A1754" s="5">
        <v>1693</v>
      </c>
      <c r="B1754" s="138">
        <f>'Tax Sched 23'!B14</f>
        <v>52045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5961934</v>
      </c>
      <c r="C1759" s="2" t="s">
        <v>573</v>
      </c>
      <c r="D1759" s="2" t="str">
        <f t="shared" si="26"/>
        <v>Error?</v>
      </c>
    </row>
    <row r="1760" spans="1:5" x14ac:dyDescent="0.2">
      <c r="A1760" s="5">
        <v>1699</v>
      </c>
      <c r="B1760" s="138">
        <f>'Tax Sched 23'!D4</f>
        <v>3031608</v>
      </c>
      <c r="C1760" s="2" t="s">
        <v>573</v>
      </c>
      <c r="D1760" s="2" t="str">
        <f t="shared" si="26"/>
        <v>Error?</v>
      </c>
    </row>
    <row r="1761" spans="1:5" x14ac:dyDescent="0.2">
      <c r="A1761" s="5">
        <v>1700</v>
      </c>
      <c r="B1761" s="138">
        <f>'Tax Sched 23'!D5</f>
        <v>650560</v>
      </c>
      <c r="C1761" s="2" t="s">
        <v>573</v>
      </c>
      <c r="D1761" s="2" t="str">
        <f t="shared" si="26"/>
        <v>Error?</v>
      </c>
    </row>
    <row r="1762" spans="1:5" s="8" customFormat="1" x14ac:dyDescent="0.2">
      <c r="A1762" s="5">
        <v>1701</v>
      </c>
      <c r="B1762" s="138">
        <f>'Tax Sched 23'!D6</f>
        <v>1166164</v>
      </c>
      <c r="C1762" s="2" t="s">
        <v>573</v>
      </c>
      <c r="D1762" s="2" t="str">
        <f t="shared" si="26"/>
        <v>Error?</v>
      </c>
      <c r="E1762" s="9"/>
    </row>
    <row r="1763" spans="1:5" x14ac:dyDescent="0.2">
      <c r="A1763" s="5">
        <v>1702</v>
      </c>
      <c r="B1763" s="138">
        <f>'Tax Sched 23'!D7</f>
        <v>260224</v>
      </c>
      <c r="C1763" s="2" t="s">
        <v>573</v>
      </c>
      <c r="D1763" s="2" t="str">
        <f t="shared" si="26"/>
        <v>Error?</v>
      </c>
    </row>
    <row r="1764" spans="1:5" x14ac:dyDescent="0.2">
      <c r="A1764" s="5">
        <v>1703</v>
      </c>
      <c r="B1764" s="138">
        <f>'Tax Sched 23'!D8</f>
        <v>59760</v>
      </c>
      <c r="C1764" s="2" t="s">
        <v>573</v>
      </c>
      <c r="D1764" s="2" t="str">
        <f t="shared" si="26"/>
        <v>Error?</v>
      </c>
    </row>
    <row r="1765" spans="1:5" x14ac:dyDescent="0.2">
      <c r="A1765" s="5">
        <v>1704</v>
      </c>
      <c r="B1765" s="138">
        <f>'Tax Sched 23'!D10</f>
        <v>65056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409228</v>
      </c>
      <c r="C1768" s="2" t="s">
        <v>573</v>
      </c>
      <c r="D1768" s="2" t="str">
        <f t="shared" si="26"/>
        <v>Error?</v>
      </c>
    </row>
    <row r="1769" spans="1:5" x14ac:dyDescent="0.2">
      <c r="A1769" s="5">
        <v>1708</v>
      </c>
      <c r="B1769" s="138">
        <f>'Tax Sched 23'!D12</f>
        <v>65056</v>
      </c>
      <c r="C1769" s="2" t="s">
        <v>573</v>
      </c>
      <c r="D1769" s="2" t="str">
        <f t="shared" si="26"/>
        <v>Error?</v>
      </c>
    </row>
    <row r="1770" spans="1:5" x14ac:dyDescent="0.2">
      <c r="A1770" s="5">
        <v>1709</v>
      </c>
      <c r="B1770" s="138">
        <f>'Tax Sched 23'!D14</f>
        <v>52045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5961934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3531480</v>
      </c>
      <c r="C1792" s="2" t="s">
        <v>573</v>
      </c>
      <c r="D1792" s="2" t="str">
        <f t="shared" si="27"/>
        <v>Error?</v>
      </c>
    </row>
    <row r="1793" spans="1:4" x14ac:dyDescent="0.2">
      <c r="A1793" s="5">
        <v>1732</v>
      </c>
      <c r="B1793" s="138">
        <f>'Tax Sched 23'!F5</f>
        <v>757828</v>
      </c>
      <c r="C1793" s="2" t="s">
        <v>573</v>
      </c>
      <c r="D1793" s="2" t="str">
        <f t="shared" si="27"/>
        <v>Error?</v>
      </c>
    </row>
    <row r="1794" spans="1:4" x14ac:dyDescent="0.2">
      <c r="A1794" s="5">
        <v>1733</v>
      </c>
      <c r="B1794" s="138">
        <f>'Tax Sched 23'!F6</f>
        <v>1511352</v>
      </c>
      <c r="C1794" s="2" t="s">
        <v>573</v>
      </c>
      <c r="D1794" s="2" t="str">
        <f t="shared" si="27"/>
        <v>Error?</v>
      </c>
    </row>
    <row r="1795" spans="1:4" x14ac:dyDescent="0.2">
      <c r="A1795" s="5">
        <v>1734</v>
      </c>
      <c r="B1795" s="138">
        <f>'Tax Sched 23'!F7</f>
        <v>303131</v>
      </c>
      <c r="C1795" s="2" t="s">
        <v>573</v>
      </c>
      <c r="D1795" s="2" t="str">
        <f t="shared" si="27"/>
        <v>Error?</v>
      </c>
    </row>
    <row r="1796" spans="1:4" x14ac:dyDescent="0.2">
      <c r="A1796" s="5">
        <v>1735</v>
      </c>
      <c r="B1796" s="138">
        <f>'Tax Sched 23'!F8</f>
        <v>45000</v>
      </c>
      <c r="C1796" s="2" t="s">
        <v>573</v>
      </c>
      <c r="D1796" s="2" t="str">
        <f t="shared" si="27"/>
        <v>Error?</v>
      </c>
    </row>
    <row r="1797" spans="1:4" x14ac:dyDescent="0.2">
      <c r="A1797" s="5">
        <v>1736</v>
      </c>
      <c r="B1797" s="138">
        <f>'Tax Sched 23'!F10</f>
        <v>75783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412289</v>
      </c>
      <c r="C1800" s="2" t="s">
        <v>573</v>
      </c>
      <c r="D1800" s="2" t="str">
        <f t="shared" si="27"/>
        <v>Error?</v>
      </c>
    </row>
    <row r="1801" spans="1:4" x14ac:dyDescent="0.2">
      <c r="A1801" s="5">
        <v>1740</v>
      </c>
      <c r="B1801" s="138">
        <f>'Tax Sched 23'!F12</f>
        <v>75783</v>
      </c>
      <c r="C1801" s="2" t="s">
        <v>573</v>
      </c>
      <c r="D1801" s="2" t="str">
        <f t="shared" si="27"/>
        <v>Error?</v>
      </c>
    </row>
    <row r="1802" spans="1:4" x14ac:dyDescent="0.2">
      <c r="A1802" s="5">
        <v>1741</v>
      </c>
      <c r="B1802" s="138">
        <f>'Tax Sched 23'!F14</f>
        <v>60626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6974066</v>
      </c>
      <c r="C1807" s="2" t="s">
        <v>573</v>
      </c>
      <c r="D1807" s="2" t="str">
        <f t="shared" si="27"/>
        <v>Error?</v>
      </c>
    </row>
    <row r="1808" spans="1:4" x14ac:dyDescent="0.2">
      <c r="A1808" s="5">
        <v>1747</v>
      </c>
      <c r="B1808" s="138">
        <f>'Tax Sched 23'!E4</f>
        <v>3531480</v>
      </c>
      <c r="D1808" s="2" t="str">
        <f t="shared" si="27"/>
        <v>Error?</v>
      </c>
    </row>
    <row r="1809" spans="1:4" x14ac:dyDescent="0.2">
      <c r="A1809" s="5">
        <v>1748</v>
      </c>
      <c r="B1809" s="138">
        <f>'Tax Sched 23'!E5</f>
        <v>757828</v>
      </c>
      <c r="D1809" s="2" t="str">
        <f t="shared" si="27"/>
        <v>Error?</v>
      </c>
    </row>
    <row r="1810" spans="1:4" x14ac:dyDescent="0.2">
      <c r="A1810" s="5">
        <v>1749</v>
      </c>
      <c r="B1810" s="138">
        <f>'Tax Sched 23'!E6</f>
        <v>1511352</v>
      </c>
      <c r="D1810" s="2" t="str">
        <f t="shared" si="27"/>
        <v>Error?</v>
      </c>
    </row>
    <row r="1811" spans="1:4" x14ac:dyDescent="0.2">
      <c r="A1811" s="5">
        <v>1750</v>
      </c>
      <c r="B1811" s="138">
        <f>'Tax Sched 23'!E7</f>
        <v>303131</v>
      </c>
      <c r="D1811" s="2" t="str">
        <f t="shared" si="27"/>
        <v>Error?</v>
      </c>
    </row>
    <row r="1812" spans="1:4" x14ac:dyDescent="0.2">
      <c r="A1812" s="5">
        <v>1751</v>
      </c>
      <c r="B1812" s="138">
        <f>'Tax Sched 23'!E8</f>
        <v>45000</v>
      </c>
      <c r="D1812" s="2" t="str">
        <f t="shared" si="27"/>
        <v>Error?</v>
      </c>
    </row>
    <row r="1813" spans="1:4" x14ac:dyDescent="0.2">
      <c r="A1813" s="5">
        <v>1752</v>
      </c>
      <c r="B1813" s="138">
        <f>'Tax Sched 23'!E10</f>
        <v>75783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412289</v>
      </c>
      <c r="D1816" s="2" t="str">
        <f t="shared" si="27"/>
        <v>Error?</v>
      </c>
    </row>
    <row r="1817" spans="1:4" x14ac:dyDescent="0.2">
      <c r="A1817" s="5">
        <v>1756</v>
      </c>
      <c r="B1817" s="138">
        <f>'Tax Sched 23'!E12</f>
        <v>75783</v>
      </c>
      <c r="D1817" s="2" t="str">
        <f t="shared" si="27"/>
        <v>Error?</v>
      </c>
    </row>
    <row r="1818" spans="1:4" x14ac:dyDescent="0.2">
      <c r="A1818" s="5">
        <v>1757</v>
      </c>
      <c r="B1818" s="138">
        <f>'Tax Sched 23'!E14</f>
        <v>60626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6974066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10215000</v>
      </c>
      <c r="C1939" s="2" t="s">
        <v>573</v>
      </c>
      <c r="D1939" s="2" t="str">
        <f t="shared" si="29"/>
        <v>Error?</v>
      </c>
    </row>
    <row r="1940" spans="1:5" x14ac:dyDescent="0.2">
      <c r="A1940" s="5">
        <v>1879</v>
      </c>
      <c r="B1940" s="138">
        <f>'Short-Term Long-Term Debt 24'!F49</f>
        <v>1565000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52045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52045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52045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376107</v>
      </c>
      <c r="D2008" s="2" t="str">
        <f t="shared" si="30"/>
        <v>Error?</v>
      </c>
    </row>
    <row r="2009" spans="1:4" x14ac:dyDescent="0.2">
      <c r="A2009" s="5">
        <v>1948</v>
      </c>
      <c r="B2009" s="138">
        <f>'Cap Outlay Deprec 26'!C8</f>
        <v>33510187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1127499</v>
      </c>
      <c r="D2011" s="2" t="str">
        <f t="shared" si="30"/>
        <v>Error?</v>
      </c>
    </row>
    <row r="2012" spans="1:4" x14ac:dyDescent="0.2">
      <c r="A2012" s="5">
        <v>1951</v>
      </c>
      <c r="B2012" s="138">
        <f>'Cap Outlay Deprec 26'!C13</f>
        <v>1568056</v>
      </c>
      <c r="D2012" s="2" t="str">
        <f t="shared" si="30"/>
        <v>Error?</v>
      </c>
    </row>
    <row r="2013" spans="1:4" x14ac:dyDescent="0.2">
      <c r="A2013" s="5">
        <v>1952</v>
      </c>
      <c r="B2013" s="138">
        <f>'Cap Outlay Deprec 26'!C16</f>
        <v>36581849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41379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270866</v>
      </c>
      <c r="D2017" s="2" t="str">
        <f t="shared" si="30"/>
        <v>Error?</v>
      </c>
    </row>
    <row r="2018" spans="1:4" x14ac:dyDescent="0.2">
      <c r="A2018" s="5">
        <v>1957</v>
      </c>
      <c r="B2018" s="138">
        <f>'Cap Outlay Deprec 26'!D13</f>
        <v>194950</v>
      </c>
      <c r="D2018" s="2" t="str">
        <f t="shared" si="30"/>
        <v>Error?</v>
      </c>
    </row>
    <row r="2019" spans="1:4" x14ac:dyDescent="0.2">
      <c r="A2019" s="5">
        <v>1958</v>
      </c>
      <c r="B2019" s="138">
        <f>'Cap Outlay Deprec 26'!D16</f>
        <v>507195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61000</v>
      </c>
      <c r="D2024" s="2" t="str">
        <f t="shared" si="30"/>
        <v>Error?</v>
      </c>
    </row>
    <row r="2025" spans="1:4" x14ac:dyDescent="0.2">
      <c r="A2025" s="5">
        <v>1964</v>
      </c>
      <c r="B2025" s="138">
        <f>'Cap Outlay Deprec 26'!E16</f>
        <v>61000</v>
      </c>
      <c r="C2025" s="2" t="s">
        <v>573</v>
      </c>
      <c r="D2025" s="2" t="str">
        <f t="shared" si="30"/>
        <v>Error?</v>
      </c>
    </row>
    <row r="2026" spans="1:4" x14ac:dyDescent="0.2">
      <c r="A2026" s="5">
        <v>1965</v>
      </c>
      <c r="B2026" s="138">
        <f>'Cap Outlay Deprec 26'!F5</f>
        <v>376107</v>
      </c>
      <c r="C2026" s="2" t="s">
        <v>573</v>
      </c>
      <c r="D2026" s="2" t="str">
        <f t="shared" si="30"/>
        <v>Error?</v>
      </c>
    </row>
    <row r="2027" spans="1:4" x14ac:dyDescent="0.2">
      <c r="A2027" s="5">
        <v>1966</v>
      </c>
      <c r="B2027" s="138">
        <f>'Cap Outlay Deprec 26'!F8</f>
        <v>33551566</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1398365</v>
      </c>
      <c r="C2029" s="2" t="s">
        <v>573</v>
      </c>
      <c r="D2029" s="2" t="str">
        <f t="shared" si="30"/>
        <v>Error?</v>
      </c>
    </row>
    <row r="2030" spans="1:4" x14ac:dyDescent="0.2">
      <c r="A2030" s="5">
        <v>1969</v>
      </c>
      <c r="B2030" s="138">
        <f>'Cap Outlay Deprec 26'!F13</f>
        <v>1702006</v>
      </c>
      <c r="C2030" s="2" t="s">
        <v>573</v>
      </c>
      <c r="D2030" s="2" t="str">
        <f t="shared" si="30"/>
        <v>Error?</v>
      </c>
    </row>
    <row r="2031" spans="1:4" x14ac:dyDescent="0.2">
      <c r="A2031" s="5">
        <v>1970</v>
      </c>
      <c r="B2031" s="138">
        <f>'Cap Outlay Deprec 26'!F16</f>
        <v>37028044</v>
      </c>
      <c r="C2031" s="2" t="s">
        <v>573</v>
      </c>
      <c r="D2031" s="2" t="str">
        <f t="shared" si="30"/>
        <v>Error?</v>
      </c>
    </row>
    <row r="2032" spans="1:4" x14ac:dyDescent="0.2">
      <c r="A2032" s="10">
        <v>1971</v>
      </c>
      <c r="D2032" s="2" t="str">
        <f t="shared" si="30"/>
        <v>OK</v>
      </c>
    </row>
    <row r="2033" spans="1:4" x14ac:dyDescent="0.2">
      <c r="A2033" s="5">
        <v>1972</v>
      </c>
      <c r="B2033" s="138">
        <f>'Cap Outlay Deprec 26'!H8</f>
        <v>9503580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656048</v>
      </c>
      <c r="D2035" s="2" t="str">
        <f t="shared" si="30"/>
        <v>Error?</v>
      </c>
    </row>
    <row r="2036" spans="1:4" x14ac:dyDescent="0.2">
      <c r="A2036" s="5">
        <v>1975</v>
      </c>
      <c r="B2036" s="138">
        <f>'Cap Outlay Deprec 26'!H13</f>
        <v>1317965</v>
      </c>
      <c r="D2036" s="2" t="str">
        <f t="shared" si="30"/>
        <v>Error?</v>
      </c>
    </row>
    <row r="2037" spans="1:4" x14ac:dyDescent="0.2">
      <c r="A2037" s="5">
        <v>1976</v>
      </c>
      <c r="B2037" s="138">
        <f>'Cap Outlay Deprec 26'!H16</f>
        <v>11477593</v>
      </c>
      <c r="C2037" s="2" t="s">
        <v>573</v>
      </c>
      <c r="D2037" s="2" t="str">
        <f t="shared" si="30"/>
        <v>Error?</v>
      </c>
    </row>
    <row r="2038" spans="1:4" x14ac:dyDescent="0.2">
      <c r="A2038" s="10">
        <v>1977</v>
      </c>
      <c r="D2038" s="2" t="str">
        <f t="shared" si="30"/>
        <v>OK</v>
      </c>
    </row>
    <row r="2039" spans="1:4" x14ac:dyDescent="0.2">
      <c r="A2039" s="5">
        <v>1978</v>
      </c>
      <c r="B2039" s="138">
        <f>'Cap Outlay Deprec 26'!I8</f>
        <v>656465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83571</v>
      </c>
      <c r="D2041" s="2" t="str">
        <f t="shared" si="30"/>
        <v>Error?</v>
      </c>
    </row>
    <row r="2042" spans="1:4" x14ac:dyDescent="0.2">
      <c r="A2042" s="5">
        <v>1981</v>
      </c>
      <c r="B2042" s="138">
        <f>'Cap Outlay Deprec 26'!I13</f>
        <v>98552</v>
      </c>
      <c r="D2042" s="2" t="str">
        <f t="shared" si="30"/>
        <v>Error?</v>
      </c>
    </row>
    <row r="2043" spans="1:4" x14ac:dyDescent="0.2">
      <c r="A2043" s="5">
        <v>1982</v>
      </c>
      <c r="B2043" s="138">
        <f>'Cap Outlay Deprec 26'!I16</f>
        <v>838588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61000</v>
      </c>
      <c r="D2048" s="2" t="str">
        <f t="shared" si="31"/>
        <v>Error?</v>
      </c>
    </row>
    <row r="2049" spans="1:4" x14ac:dyDescent="0.2">
      <c r="A2049" s="5">
        <v>1988</v>
      </c>
      <c r="B2049" s="138">
        <f>'Cap Outlay Deprec 26'!J16</f>
        <v>61000</v>
      </c>
      <c r="C2049" s="2" t="s">
        <v>573</v>
      </c>
      <c r="D2049" s="2" t="str">
        <f t="shared" si="31"/>
        <v>Error?</v>
      </c>
    </row>
    <row r="2050" spans="1:4" x14ac:dyDescent="0.2">
      <c r="A2050" s="10">
        <v>1989</v>
      </c>
      <c r="D2050" s="2" t="str">
        <f t="shared" si="31"/>
        <v>OK</v>
      </c>
    </row>
    <row r="2051" spans="1:4" x14ac:dyDescent="0.2">
      <c r="A2051" s="5">
        <v>1990</v>
      </c>
      <c r="B2051" s="138">
        <f>'Cap Outlay Deprec 26'!K8</f>
        <v>10160045</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739619</v>
      </c>
      <c r="C2053" s="2" t="s">
        <v>573</v>
      </c>
      <c r="D2053" s="2" t="str">
        <f t="shared" si="31"/>
        <v>Error?</v>
      </c>
    </row>
    <row r="2054" spans="1:4" x14ac:dyDescent="0.2">
      <c r="A2054" s="5">
        <v>1993</v>
      </c>
      <c r="B2054" s="138">
        <f>'Cap Outlay Deprec 26'!K13</f>
        <v>1355517</v>
      </c>
      <c r="C2054" s="2" t="s">
        <v>573</v>
      </c>
      <c r="D2054" s="2" t="str">
        <f t="shared" si="31"/>
        <v>Error?</v>
      </c>
    </row>
    <row r="2055" spans="1:4" x14ac:dyDescent="0.2">
      <c r="A2055" s="5">
        <v>1994</v>
      </c>
      <c r="B2055" s="138">
        <f>'Cap Outlay Deprec 26'!K16</f>
        <v>12255181</v>
      </c>
      <c r="C2055" s="2" t="s">
        <v>573</v>
      </c>
      <c r="D2055" s="2" t="str">
        <f t="shared" si="31"/>
        <v>Error?</v>
      </c>
    </row>
    <row r="2056" spans="1:4" x14ac:dyDescent="0.2">
      <c r="A2056" s="5">
        <v>1995</v>
      </c>
      <c r="B2056" s="138">
        <f>'Cap Outlay Deprec 26'!L5</f>
        <v>376107</v>
      </c>
      <c r="C2056" s="2" t="s">
        <v>573</v>
      </c>
      <c r="D2056" s="2" t="str">
        <f t="shared" si="31"/>
        <v>Error?</v>
      </c>
    </row>
    <row r="2057" spans="1:4" x14ac:dyDescent="0.2">
      <c r="A2057" s="5">
        <v>1996</v>
      </c>
      <c r="B2057" s="138">
        <f>'Cap Outlay Deprec 26'!L8</f>
        <v>23391521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658746</v>
      </c>
      <c r="C2059" s="2" t="s">
        <v>573</v>
      </c>
      <c r="D2059" s="2" t="str">
        <f t="shared" si="31"/>
        <v>Error?</v>
      </c>
    </row>
    <row r="2060" spans="1:4" x14ac:dyDescent="0.2">
      <c r="A2060" s="5">
        <v>1999</v>
      </c>
      <c r="B2060" s="138">
        <f>'Cap Outlay Deprec 26'!L13</f>
        <v>346489</v>
      </c>
      <c r="C2060" s="2" t="s">
        <v>573</v>
      </c>
      <c r="D2060" s="2" t="str">
        <f t="shared" si="31"/>
        <v>Error?</v>
      </c>
    </row>
    <row r="2061" spans="1:4" x14ac:dyDescent="0.2">
      <c r="A2061" s="5">
        <v>2000</v>
      </c>
      <c r="B2061" s="138">
        <f>'Cap Outlay Deprec 26'!L16</f>
        <v>24772863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392467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19604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3844672</v>
      </c>
      <c r="C2551" s="2" t="s">
        <v>573</v>
      </c>
      <c r="D2551" s="2" t="str">
        <f t="shared" si="38"/>
        <v>Error?</v>
      </c>
    </row>
    <row r="2552" spans="1:4" x14ac:dyDescent="0.2">
      <c r="A2552" s="10">
        <v>2491</v>
      </c>
      <c r="D2552" s="2" t="str">
        <f t="shared" si="38"/>
        <v>OK</v>
      </c>
    </row>
    <row r="2553" spans="1:4" x14ac:dyDescent="0.2">
      <c r="A2553" s="5">
        <v>2492</v>
      </c>
      <c r="B2553" s="138">
        <f>'Acct Summary 7-8'!C6</f>
        <v>2311080</v>
      </c>
      <c r="C2553" s="2" t="s">
        <v>573</v>
      </c>
      <c r="D2553" s="2" t="str">
        <f t="shared" si="38"/>
        <v>Error?</v>
      </c>
    </row>
    <row r="2554" spans="1:4" x14ac:dyDescent="0.2">
      <c r="A2554" s="5">
        <v>2493</v>
      </c>
      <c r="B2554" s="138">
        <f>'Acct Summary 7-8'!C7</f>
        <v>530894</v>
      </c>
      <c r="C2554" s="2" t="s">
        <v>573</v>
      </c>
      <c r="D2554" s="2" t="str">
        <f t="shared" si="38"/>
        <v>Error?</v>
      </c>
    </row>
    <row r="2555" spans="1:4" x14ac:dyDescent="0.2">
      <c r="A2555" s="5">
        <v>2494</v>
      </c>
      <c r="B2555" s="138">
        <f>'Acct Summary 7-8'!C8</f>
        <v>6686646</v>
      </c>
      <c r="C2555" s="2" t="s">
        <v>573</v>
      </c>
      <c r="D2555" s="2" t="str">
        <f t="shared" si="38"/>
        <v>Error?</v>
      </c>
    </row>
    <row r="2556" spans="1:4" x14ac:dyDescent="0.2">
      <c r="A2556" s="5">
        <v>2495</v>
      </c>
      <c r="B2556" s="138">
        <f>'Acct Summary 7-8'!C12</f>
        <v>4720287</v>
      </c>
      <c r="C2556" s="2" t="s">
        <v>573</v>
      </c>
      <c r="D2556" s="2" t="str">
        <f t="shared" si="38"/>
        <v>Error?</v>
      </c>
    </row>
    <row r="2557" spans="1:4" x14ac:dyDescent="0.2">
      <c r="A2557" s="5">
        <v>2496</v>
      </c>
      <c r="B2557" s="138">
        <f>'Acct Summary 7-8'!C13</f>
        <v>1875578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392467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6988332</v>
      </c>
      <c r="C2561" s="2" t="s">
        <v>573</v>
      </c>
      <c r="D2561" s="2" t="str">
        <f t="shared" si="39"/>
        <v>Error?</v>
      </c>
    </row>
    <row r="2562" spans="1:4" x14ac:dyDescent="0.2">
      <c r="A2562" s="5">
        <v>2501</v>
      </c>
      <c r="B2562" s="138">
        <f>'Acct Summary 7-8'!C20</f>
        <v>-301686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668347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668347</v>
      </c>
      <c r="C2568" s="2" t="s">
        <v>573</v>
      </c>
      <c r="D2568" s="2" t="str">
        <f t="shared" si="39"/>
        <v>Error?</v>
      </c>
    </row>
    <row r="2569" spans="1:4" x14ac:dyDescent="0.2">
      <c r="A2569" s="5">
        <v>2508</v>
      </c>
      <c r="B2569" s="138">
        <f>'Acct Summary 7-8'!D13</f>
        <v>746909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746909</v>
      </c>
      <c r="C2573" s="2" t="s">
        <v>573</v>
      </c>
      <c r="D2573" s="2" t="str">
        <f t="shared" si="39"/>
        <v>Error?</v>
      </c>
    </row>
    <row r="2574" spans="1:4" x14ac:dyDescent="0.2">
      <c r="A2574" s="5">
        <v>2513</v>
      </c>
      <c r="B2574" s="138">
        <f>'Acct Summary 7-8'!D20</f>
        <v>-78562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280277</v>
      </c>
      <c r="C2591" s="2" t="s">
        <v>573</v>
      </c>
      <c r="D2591" s="2" t="str">
        <f t="shared" si="39"/>
        <v>Error?</v>
      </c>
    </row>
    <row r="2592" spans="1:4" x14ac:dyDescent="0.2">
      <c r="A2592" s="10">
        <v>2531</v>
      </c>
      <c r="D2592" s="2" t="str">
        <f t="shared" si="39"/>
        <v>OK</v>
      </c>
    </row>
    <row r="2593" spans="1:4" x14ac:dyDescent="0.2">
      <c r="A2593" s="5">
        <v>2532</v>
      </c>
      <c r="B2593" s="138">
        <f>'Acct Summary 7-8'!F6</f>
        <v>267980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548257</v>
      </c>
      <c r="C2595" s="2" t="s">
        <v>573</v>
      </c>
      <c r="D2595" s="2" t="str">
        <f t="shared" si="39"/>
        <v>Error?</v>
      </c>
    </row>
    <row r="2596" spans="1:4" x14ac:dyDescent="0.2">
      <c r="A2596" s="5">
        <v>2535</v>
      </c>
      <c r="B2596" s="138">
        <f>'Acct Summary 7-8'!F13</f>
        <v>508379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508379</v>
      </c>
      <c r="C2600" s="2" t="s">
        <v>573</v>
      </c>
      <c r="D2600" s="2" t="str">
        <f t="shared" si="39"/>
        <v>Error?</v>
      </c>
    </row>
    <row r="2601" spans="1:4" x14ac:dyDescent="0.2">
      <c r="A2601" s="5">
        <v>2540</v>
      </c>
      <c r="B2601" s="138">
        <f>'Acct Summary 7-8'!F20</f>
        <v>39878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208291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208291</v>
      </c>
      <c r="C2606" s="2" t="s">
        <v>573</v>
      </c>
      <c r="D2606" s="2" t="str">
        <f t="shared" si="39"/>
        <v>Error?</v>
      </c>
    </row>
    <row r="2607" spans="1:4" x14ac:dyDescent="0.2">
      <c r="A2607" s="5">
        <v>2546</v>
      </c>
      <c r="B2607" s="138">
        <f>'Acct Summary 7-8'!G12</f>
        <v>68377</v>
      </c>
      <c r="C2607" s="2" t="s">
        <v>573</v>
      </c>
      <c r="D2607" s="2" t="str">
        <f t="shared" si="39"/>
        <v>Error?</v>
      </c>
    </row>
    <row r="2608" spans="1:4" x14ac:dyDescent="0.2">
      <c r="A2608" s="5">
        <v>2547</v>
      </c>
      <c r="B2608" s="138">
        <f>'Acct Summary 7-8'!G13</f>
        <v>127610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195987</v>
      </c>
      <c r="C2612" s="2" t="s">
        <v>573</v>
      </c>
      <c r="D2612" s="2" t="str">
        <f t="shared" si="39"/>
        <v>Error?</v>
      </c>
    </row>
    <row r="2613" spans="1:4" x14ac:dyDescent="0.2">
      <c r="A2613" s="5">
        <v>2552</v>
      </c>
      <c r="B2613" s="138">
        <f>'Acct Summary 7-8'!G20</f>
        <v>12304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1328007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1328007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1391369</v>
      </c>
      <c r="C2634" s="2" t="s">
        <v>573</v>
      </c>
      <c r="D2634" s="2" t="str">
        <f t="shared" si="40"/>
        <v>Error?</v>
      </c>
    </row>
    <row r="2635" spans="1:4" x14ac:dyDescent="0.2">
      <c r="A2635" s="5">
        <v>2574</v>
      </c>
      <c r="B2635" s="138">
        <f>'Acct Summary 7-8'!E17</f>
        <v>1391369</v>
      </c>
      <c r="C2635" s="2" t="s">
        <v>573</v>
      </c>
      <c r="D2635" s="2" t="str">
        <f t="shared" si="40"/>
        <v>Error?</v>
      </c>
    </row>
    <row r="2636" spans="1:4" x14ac:dyDescent="0.2">
      <c r="A2636" s="5">
        <v>2575</v>
      </c>
      <c r="B2636" s="138">
        <f>'Acct Summary 7-8'!E20</f>
        <v>-63362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480619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480619</v>
      </c>
      <c r="C2658" s="2" t="s">
        <v>573</v>
      </c>
      <c r="D2658" s="2" t="str">
        <f t="shared" si="40"/>
        <v>Error?</v>
      </c>
    </row>
    <row r="2659" spans="1:4" x14ac:dyDescent="0.2">
      <c r="A2659" s="5">
        <v>2598</v>
      </c>
      <c r="B2659" s="138">
        <f>'Acct Summary 7-8'!H13</f>
        <v>536658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536658</v>
      </c>
      <c r="C2661" s="2" t="s">
        <v>573</v>
      </c>
      <c r="D2661" s="2" t="str">
        <f t="shared" si="40"/>
        <v>Error?</v>
      </c>
    </row>
    <row r="2662" spans="1:4" x14ac:dyDescent="0.2">
      <c r="A2662" s="5">
        <v>2601</v>
      </c>
      <c r="B2662" s="138">
        <f>'Acct Summary 7-8'!H20</f>
        <v>-56039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18000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18000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2681539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2681546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109416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2681546</v>
      </c>
      <c r="D2912" s="2" t="str">
        <f t="shared" si="44"/>
        <v>Error?</v>
      </c>
    </row>
    <row r="2913" spans="1:4" x14ac:dyDescent="0.2">
      <c r="A2913" s="5">
        <v>2852</v>
      </c>
      <c r="B2913" s="138">
        <f>'Assets-Liab 5-6'!I41</f>
        <v>2681546</v>
      </c>
      <c r="C2913" s="2" t="s">
        <v>573</v>
      </c>
      <c r="D2913" s="2" t="str">
        <f t="shared" si="44"/>
        <v>Error?</v>
      </c>
    </row>
    <row r="2914" spans="1:4" x14ac:dyDescent="0.2">
      <c r="A2914" s="5">
        <v>2853</v>
      </c>
      <c r="B2914" s="138">
        <f>'Assets-Liab 5-6'!L33</f>
        <v>109416</v>
      </c>
      <c r="D2914" s="2" t="str">
        <f t="shared" si="44"/>
        <v>Error?</v>
      </c>
    </row>
    <row r="2915" spans="1:4" x14ac:dyDescent="0.2">
      <c r="A2915" s="10">
        <v>2854</v>
      </c>
      <c r="D2915" s="2" t="str">
        <f t="shared" si="44"/>
        <v>OK</v>
      </c>
    </row>
    <row r="2916" spans="1:4" x14ac:dyDescent="0.2">
      <c r="A2916" s="5">
        <v>2855</v>
      </c>
      <c r="B2916" s="138">
        <f>'Assets-Liab 5-6'!L34</f>
        <v>109416</v>
      </c>
      <c r="C2916" s="2" t="s">
        <v>573</v>
      </c>
      <c r="D2916" s="2" t="str">
        <f t="shared" si="44"/>
        <v>Error?</v>
      </c>
    </row>
    <row r="2917" spans="1:4" x14ac:dyDescent="0.2">
      <c r="A2917" s="5">
        <v>2856</v>
      </c>
      <c r="B2917" s="138">
        <f>'Assets-Liab 5-6'!L41</f>
        <v>109416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97538</v>
      </c>
      <c r="D3055" s="2" t="str">
        <f t="shared" si="46"/>
        <v>Error?</v>
      </c>
    </row>
    <row r="3056" spans="1:4" x14ac:dyDescent="0.2">
      <c r="A3056" s="5">
        <v>2995</v>
      </c>
      <c r="B3056" s="138">
        <f>'Expenditures 15-22'!D10</f>
        <v>20228</v>
      </c>
      <c r="D3056" s="2" t="str">
        <f t="shared" si="46"/>
        <v>Error?</v>
      </c>
    </row>
    <row r="3057" spans="1:4" x14ac:dyDescent="0.2">
      <c r="A3057" s="5">
        <v>2996</v>
      </c>
      <c r="B3057" s="138">
        <f>'Expenditures 15-22'!E10</f>
        <v>32344</v>
      </c>
      <c r="D3057" s="2" t="str">
        <f t="shared" si="46"/>
        <v>Error?</v>
      </c>
    </row>
    <row r="3058" spans="1:4" x14ac:dyDescent="0.2">
      <c r="A3058" s="5">
        <v>2997</v>
      </c>
      <c r="B3058" s="138">
        <f>'Expenditures 15-22'!F10</f>
        <v>54280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1039</v>
      </c>
      <c r="D3060" s="2" t="str">
        <f t="shared" si="46"/>
        <v>Error?</v>
      </c>
    </row>
    <row r="3061" spans="1:4" x14ac:dyDescent="0.2">
      <c r="A3061" s="10">
        <v>3000</v>
      </c>
      <c r="D3061" s="2" t="str">
        <f t="shared" si="46"/>
        <v>OK</v>
      </c>
    </row>
    <row r="3062" spans="1:4" x14ac:dyDescent="0.2">
      <c r="A3062" s="5">
        <v>3001</v>
      </c>
      <c r="B3062" s="138">
        <f>'Expenditures 15-22'!K10</f>
        <v>205429</v>
      </c>
      <c r="C3062" s="2" t="s">
        <v>573</v>
      </c>
      <c r="D3062" s="2" t="str">
        <f t="shared" si="46"/>
        <v>Error?</v>
      </c>
    </row>
    <row r="3063" spans="1:4" x14ac:dyDescent="0.2">
      <c r="A3063" s="10">
        <v>3002</v>
      </c>
      <c r="D3063" s="2" t="str">
        <f t="shared" si="46"/>
        <v>OK</v>
      </c>
    </row>
    <row r="3064" spans="1:4" x14ac:dyDescent="0.2">
      <c r="A3064" s="5">
        <v>3003</v>
      </c>
      <c r="B3064" s="138">
        <f>'Expenditures 15-22'!D219</f>
        <v>3236</v>
      </c>
      <c r="D3064" s="2" t="str">
        <f t="shared" si="46"/>
        <v>Error?</v>
      </c>
    </row>
    <row r="3065" spans="1:4" x14ac:dyDescent="0.2">
      <c r="A3065" s="5">
        <v>3004</v>
      </c>
      <c r="B3065" s="138">
        <f>'Expenditures 15-22'!K219</f>
        <v>3236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500000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500000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108530</v>
      </c>
      <c r="C3225" s="2" t="s">
        <v>573</v>
      </c>
      <c r="D3225" s="2" t="str">
        <f t="shared" si="49"/>
        <v>Error?</v>
      </c>
    </row>
    <row r="3226" spans="1:4" x14ac:dyDescent="0.2">
      <c r="A3226" s="5">
        <v>3165</v>
      </c>
      <c r="B3226" s="138">
        <f>'Acct Summary 7-8'!I8</f>
        <v>108530</v>
      </c>
      <c r="C3226" s="2" t="s">
        <v>573</v>
      </c>
      <c r="D3226" s="2" t="str">
        <f t="shared" si="49"/>
        <v>Error?</v>
      </c>
    </row>
    <row r="3227" spans="1:4" x14ac:dyDescent="0.2">
      <c r="A3227" s="5">
        <v>3166</v>
      </c>
      <c r="B3227" s="138">
        <f>'Acct Summary 7-8'!I20</f>
        <v>108530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658000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65056</v>
      </c>
      <c r="C3231" s="2" t="s">
        <v>573</v>
      </c>
      <c r="D3231" s="2" t="str">
        <f t="shared" si="49"/>
        <v>Error?</v>
      </c>
    </row>
    <row r="3232" spans="1:4" x14ac:dyDescent="0.2">
      <c r="A3232" s="5">
        <v>3171</v>
      </c>
      <c r="B3232" s="138">
        <f>'Acct Summary 7-8'!C77</f>
        <v>592944</v>
      </c>
      <c r="C3232" s="2" t="s">
        <v>573</v>
      </c>
      <c r="D3232" s="2" t="str">
        <f t="shared" si="49"/>
        <v>Error?</v>
      </c>
    </row>
    <row r="3233" spans="1:4" x14ac:dyDescent="0.2">
      <c r="A3233" s="5">
        <v>3172</v>
      </c>
      <c r="B3233" s="138">
        <f>'Acct Summary 7-8'!C78</f>
        <v>291258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500000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-78562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39878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12304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65056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18000</v>
      </c>
      <c r="C3276" s="2" t="s">
        <v>573</v>
      </c>
      <c r="D3276" s="2" t="str">
        <f t="shared" si="50"/>
        <v>Error?</v>
      </c>
    </row>
    <row r="3277" spans="1:4" x14ac:dyDescent="0.2">
      <c r="A3277" s="5">
        <v>3216</v>
      </c>
      <c r="B3277" s="138">
        <f>'Acct Summary 7-8'!E77</f>
        <v>47056</v>
      </c>
      <c r="C3277" s="2" t="s">
        <v>573</v>
      </c>
      <c r="D3277" s="2" t="str">
        <f t="shared" si="50"/>
        <v>Error?</v>
      </c>
    </row>
    <row r="3278" spans="1:4" x14ac:dyDescent="0.2">
      <c r="A3278" s="5">
        <v>3217</v>
      </c>
      <c r="B3278" s="138">
        <f>'Acct Summary 7-8'!E78</f>
        <v>-16306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500000</v>
      </c>
      <c r="C3298" s="2" t="s">
        <v>573</v>
      </c>
      <c r="D3298" s="2" t="str">
        <f t="shared" si="50"/>
        <v>Error?</v>
      </c>
    </row>
    <row r="3299" spans="1:4" x14ac:dyDescent="0.2">
      <c r="A3299" s="5">
        <v>3238</v>
      </c>
      <c r="B3299" s="138">
        <f>'Acct Summary 7-8'!H77</f>
        <v>-500000</v>
      </c>
      <c r="C3299" s="2" t="s">
        <v>573</v>
      </c>
      <c r="D3299" s="2" t="str">
        <f t="shared" si="50"/>
        <v>Error?</v>
      </c>
    </row>
    <row r="3300" spans="1:4" x14ac:dyDescent="0.2">
      <c r="A3300" s="5">
        <v>3239</v>
      </c>
      <c r="B3300" s="138">
        <f>'Acct Summary 7-8'!H78</f>
        <v>-556039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1565000</v>
      </c>
      <c r="C3317" s="2" t="s">
        <v>573</v>
      </c>
      <c r="D3317" s="2" t="str">
        <f t="shared" si="50"/>
        <v>Error?</v>
      </c>
    </row>
    <row r="3318" spans="1:4" x14ac:dyDescent="0.2">
      <c r="A3318" s="5">
        <v>3257</v>
      </c>
      <c r="B3318" s="138">
        <f>'Acct Summary 7-8'!I76</f>
        <v>140000</v>
      </c>
      <c r="C3318" s="2" t="s">
        <v>573</v>
      </c>
      <c r="D3318" s="2" t="str">
        <f t="shared" si="50"/>
        <v>Error?</v>
      </c>
    </row>
    <row r="3319" spans="1:4" x14ac:dyDescent="0.2">
      <c r="A3319" s="5">
        <v>3258</v>
      </c>
      <c r="B3319" s="138">
        <f>'Acct Summary 7-8'!I77</f>
        <v>1425000</v>
      </c>
      <c r="C3319" s="2" t="s">
        <v>573</v>
      </c>
      <c r="D3319" s="2" t="str">
        <f t="shared" si="50"/>
        <v>Error?</v>
      </c>
    </row>
    <row r="3320" spans="1:4" x14ac:dyDescent="0.2">
      <c r="A3320" s="5">
        <v>3259</v>
      </c>
      <c r="B3320" s="138">
        <f>'Acct Summary 7-8'!I78</f>
        <v>1533530</v>
      </c>
      <c r="C3320" s="2" t="s">
        <v>573</v>
      </c>
      <c r="D3320" s="2" t="str">
        <f t="shared" si="50"/>
        <v>Error?</v>
      </c>
    </row>
    <row r="3321" spans="1:4" x14ac:dyDescent="0.2">
      <c r="A3321" s="5">
        <v>3260</v>
      </c>
      <c r="B3321" s="138">
        <f>'Acct Summary 7-8'!I79</f>
        <v>1148016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2681546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234729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32928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9961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13982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8526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15720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300126</v>
      </c>
      <c r="C3380" s="2" t="s">
        <v>573</v>
      </c>
      <c r="D3380" s="2" t="str">
        <f t="shared" si="51"/>
        <v>Error?</v>
      </c>
    </row>
    <row r="3381" spans="1:4" x14ac:dyDescent="0.2">
      <c r="A3381" s="5">
        <v>3320</v>
      </c>
      <c r="B3381" s="138">
        <f>'Expenditures 15-22'!K19</f>
        <v>15720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49185</v>
      </c>
      <c r="D3387" s="2" t="str">
        <f t="shared" si="51"/>
        <v>Error?</v>
      </c>
    </row>
    <row r="3388" spans="1:4" x14ac:dyDescent="0.2">
      <c r="A3388" s="5">
        <v>3327</v>
      </c>
      <c r="B3388" s="138">
        <f>'Expenditures 15-22'!D217</f>
        <v>7238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49185</v>
      </c>
      <c r="C3390" s="2" t="s">
        <v>573</v>
      </c>
      <c r="D3390" s="2" t="str">
        <f t="shared" si="51"/>
        <v>Error?</v>
      </c>
    </row>
    <row r="3391" spans="1:4" x14ac:dyDescent="0.2">
      <c r="A3391" s="5">
        <v>3330</v>
      </c>
      <c r="B3391" s="138">
        <f>'Expenditures 15-22'!K217</f>
        <v>7238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201556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15103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17534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7710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v>
      </c>
      <c r="D3425" s="2" t="str">
        <f t="shared" si="52"/>
        <v>Error?</v>
      </c>
    </row>
    <row r="3426" spans="1:4" x14ac:dyDescent="0.2">
      <c r="A3426" s="10">
        <v>3365</v>
      </c>
      <c r="D3426" s="2" t="str">
        <f t="shared" si="52"/>
        <v>OK</v>
      </c>
    </row>
    <row r="3427" spans="1:4" x14ac:dyDescent="0.2">
      <c r="A3427" s="5">
        <v>3366</v>
      </c>
      <c r="B3427" s="138">
        <f>'Assets-Liab 5-6'!I4</f>
        <v>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109416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137177</v>
      </c>
      <c r="C3446" s="2" t="s">
        <v>573</v>
      </c>
      <c r="D3446" s="2" t="str">
        <f t="shared" si="52"/>
        <v>Error?</v>
      </c>
    </row>
    <row r="3447" spans="1:4" x14ac:dyDescent="0.2">
      <c r="A3447" s="5">
        <v>3386</v>
      </c>
      <c r="B3447" s="138">
        <f>'Tax Sched 23'!D16</f>
        <v>137177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125011</v>
      </c>
      <c r="C3449" s="2" t="s">
        <v>573</v>
      </c>
      <c r="D3449" s="2" t="str">
        <f t="shared" si="52"/>
        <v>Error?</v>
      </c>
    </row>
    <row r="3450" spans="1:4" x14ac:dyDescent="0.2">
      <c r="A3450" s="5">
        <v>3389</v>
      </c>
      <c r="B3450" s="138">
        <f>'Tax Sched 23'!E16</f>
        <v>125011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272727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272730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272730</v>
      </c>
      <c r="D3567" s="2" t="str">
        <f t="shared" si="54"/>
        <v>Error?</v>
      </c>
    </row>
    <row r="3568" spans="1:4" x14ac:dyDescent="0.2">
      <c r="A3568" s="5">
        <v>3507</v>
      </c>
      <c r="B3568" s="138">
        <f>'Assets-Liab 5-6'!K41</f>
        <v>272730</v>
      </c>
      <c r="C3568" s="2" t="s">
        <v>573</v>
      </c>
      <c r="D3568" s="2" t="str">
        <f t="shared" si="54"/>
        <v>Error?</v>
      </c>
    </row>
    <row r="3569" spans="1:4" x14ac:dyDescent="0.2">
      <c r="A3569" s="5">
        <v>3508</v>
      </c>
      <c r="B3569" s="138">
        <f>'Acct Summary 7-8'!K4</f>
        <v>75293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75293</v>
      </c>
      <c r="C3571" s="2" t="s">
        <v>573</v>
      </c>
      <c r="D3571" s="2" t="str">
        <f t="shared" si="54"/>
        <v>Error?</v>
      </c>
    </row>
    <row r="3572" spans="1:4" x14ac:dyDescent="0.2">
      <c r="A3572" s="5">
        <v>3511</v>
      </c>
      <c r="B3572" s="138">
        <f>'Acct Summary 7-8'!K13</f>
        <v>211505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211505</v>
      </c>
      <c r="C3575" s="2" t="s">
        <v>573</v>
      </c>
      <c r="D3575" s="2" t="str">
        <f t="shared" si="54"/>
        <v>Error?</v>
      </c>
    </row>
    <row r="3576" spans="1:4" x14ac:dyDescent="0.2">
      <c r="A3576" s="5">
        <v>3515</v>
      </c>
      <c r="B3576" s="138">
        <f>'Acct Summary 7-8'!K20</f>
        <v>-136212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-136212</v>
      </c>
      <c r="C3588" s="2" t="s">
        <v>573</v>
      </c>
      <c r="D3588" s="2" t="str">
        <f t="shared" si="55"/>
        <v>Error?</v>
      </c>
    </row>
    <row r="3589" spans="1:4" x14ac:dyDescent="0.2">
      <c r="A3589" s="5">
        <v>3528</v>
      </c>
      <c r="B3589" s="138">
        <f>'Acct Summary 7-8'!K79</f>
        <v>408942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272730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211505</v>
      </c>
      <c r="D3632" s="2" t="str">
        <f t="shared" si="55"/>
        <v>Error?</v>
      </c>
    </row>
    <row r="3633" spans="1:4" x14ac:dyDescent="0.2">
      <c r="A3633" s="5">
        <v>3572</v>
      </c>
      <c r="B3633" s="138">
        <f>'Expenditures 15-22'!E350</f>
        <v>211505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211505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211505</v>
      </c>
      <c r="C3669" s="2" t="s">
        <v>573</v>
      </c>
      <c r="D3669" s="2" t="str">
        <f t="shared" si="56"/>
        <v>Error?</v>
      </c>
    </row>
    <row r="3670" spans="1:4" x14ac:dyDescent="0.2">
      <c r="A3670" s="5">
        <v>3609</v>
      </c>
      <c r="B3670" s="138">
        <f>'Expenditures 15-22'!K350</f>
        <v>211505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211505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211505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-136212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65056</v>
      </c>
      <c r="C3725" s="2" t="s">
        <v>573</v>
      </c>
      <c r="D3725" s="2" t="str">
        <f t="shared" si="57"/>
        <v>Error?</v>
      </c>
    </row>
    <row r="3726" spans="1:4" x14ac:dyDescent="0.2">
      <c r="A3726" s="5">
        <v>3665</v>
      </c>
      <c r="B3726" s="138">
        <f>'Tax Sched 23'!D13</f>
        <v>65056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75783</v>
      </c>
      <c r="C3728" s="2" t="s">
        <v>573</v>
      </c>
      <c r="D3728" s="2" t="str">
        <f t="shared" si="57"/>
        <v>Error?</v>
      </c>
    </row>
    <row r="3729" spans="1:4" x14ac:dyDescent="0.2">
      <c r="A3729" s="5">
        <v>3668</v>
      </c>
      <c r="B3729" s="138">
        <f>'Tax Sched 23'!E13</f>
        <v>75783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3259734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9946380</v>
      </c>
      <c r="C4122" s="2" t="s">
        <v>573</v>
      </c>
      <c r="D4122" s="2" t="str">
        <f t="shared" si="63"/>
        <v>Error?</v>
      </c>
    </row>
    <row r="4123" spans="1:4" x14ac:dyDescent="0.2">
      <c r="A4123" s="5">
        <v>4062</v>
      </c>
      <c r="B4123" s="138">
        <f>'Acct Summary 7-8'!D10</f>
        <v>668347</v>
      </c>
      <c r="C4123" s="2" t="s">
        <v>573</v>
      </c>
      <c r="D4123" s="2" t="str">
        <f t="shared" si="63"/>
        <v>Error?</v>
      </c>
    </row>
    <row r="4124" spans="1:4" x14ac:dyDescent="0.2">
      <c r="A4124" s="5">
        <v>4063</v>
      </c>
      <c r="B4124" s="138">
        <f>'Acct Summary 7-8'!E10</f>
        <v>1328007</v>
      </c>
      <c r="C4124" s="2" t="s">
        <v>573</v>
      </c>
      <c r="D4124" s="2" t="str">
        <f t="shared" si="63"/>
        <v>Error?</v>
      </c>
    </row>
    <row r="4125" spans="1:4" x14ac:dyDescent="0.2">
      <c r="A4125" s="5">
        <v>4064</v>
      </c>
      <c r="B4125" s="138">
        <f>'Acct Summary 7-8'!F10</f>
        <v>548257</v>
      </c>
      <c r="C4125" s="2" t="s">
        <v>573</v>
      </c>
      <c r="D4125" s="2" t="str">
        <f t="shared" si="63"/>
        <v>Error?</v>
      </c>
    </row>
    <row r="4126" spans="1:4" x14ac:dyDescent="0.2">
      <c r="A4126" s="5">
        <v>4065</v>
      </c>
      <c r="B4126" s="138">
        <f>'Acct Summary 7-8'!G10</f>
        <v>208291</v>
      </c>
      <c r="C4126" s="2" t="s">
        <v>573</v>
      </c>
      <c r="D4126" s="2" t="str">
        <f t="shared" si="63"/>
        <v>Error?</v>
      </c>
    </row>
    <row r="4127" spans="1:4" x14ac:dyDescent="0.2">
      <c r="A4127" s="5">
        <v>4066</v>
      </c>
      <c r="B4127" s="138">
        <f>'Acct Summary 7-8'!H10</f>
        <v>480619</v>
      </c>
      <c r="C4127" s="2" t="s">
        <v>573</v>
      </c>
      <c r="D4127" s="2" t="str">
        <f t="shared" si="63"/>
        <v>Error?</v>
      </c>
    </row>
    <row r="4128" spans="1:4" x14ac:dyDescent="0.2">
      <c r="A4128" s="5">
        <v>4067</v>
      </c>
      <c r="B4128" s="138">
        <f>'Acct Summary 7-8'!I10</f>
        <v>108530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75293</v>
      </c>
      <c r="C4130" s="2" t="s">
        <v>573</v>
      </c>
      <c r="D4130" s="2" t="str">
        <f t="shared" si="63"/>
        <v>Error?</v>
      </c>
    </row>
    <row r="4131" spans="1:4" x14ac:dyDescent="0.2">
      <c r="A4131" s="5">
        <v>4070</v>
      </c>
      <c r="B4131" s="138">
        <f>'Acct Summary 7-8'!C18</f>
        <v>3259734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10248066</v>
      </c>
      <c r="C4136" s="2" t="s">
        <v>573</v>
      </c>
      <c r="D4136" s="2" t="str">
        <f t="shared" si="63"/>
        <v>Error?</v>
      </c>
    </row>
    <row r="4137" spans="1:4" x14ac:dyDescent="0.2">
      <c r="A4137" s="5">
        <v>4076</v>
      </c>
      <c r="B4137" s="138">
        <f>'Acct Summary 7-8'!D19</f>
        <v>746909</v>
      </c>
      <c r="C4137" s="2" t="s">
        <v>573</v>
      </c>
      <c r="D4137" s="2" t="str">
        <f t="shared" si="63"/>
        <v>Error?</v>
      </c>
    </row>
    <row r="4138" spans="1:4" x14ac:dyDescent="0.2">
      <c r="A4138" s="5">
        <v>4077</v>
      </c>
      <c r="B4138" s="138">
        <f>'Acct Summary 7-8'!E19</f>
        <v>1391369</v>
      </c>
      <c r="C4138" s="2" t="s">
        <v>573</v>
      </c>
      <c r="D4138" s="2" t="str">
        <f t="shared" si="63"/>
        <v>Error?</v>
      </c>
    </row>
    <row r="4139" spans="1:4" x14ac:dyDescent="0.2">
      <c r="A4139" s="5">
        <v>4078</v>
      </c>
      <c r="B4139" s="138">
        <f>'Acct Summary 7-8'!F19</f>
        <v>508379</v>
      </c>
      <c r="C4139" s="2" t="s">
        <v>573</v>
      </c>
      <c r="D4139" s="2" t="str">
        <f t="shared" si="63"/>
        <v>Error?</v>
      </c>
    </row>
    <row r="4140" spans="1:4" x14ac:dyDescent="0.2">
      <c r="A4140" s="5">
        <v>4079</v>
      </c>
      <c r="B4140" s="138">
        <f>'Acct Summary 7-8'!G19</f>
        <v>195987</v>
      </c>
      <c r="C4140" s="2" t="s">
        <v>573</v>
      </c>
      <c r="D4140" s="2" t="str">
        <f t="shared" si="63"/>
        <v>Error?</v>
      </c>
    </row>
    <row r="4141" spans="1:4" x14ac:dyDescent="0.2">
      <c r="A4141" s="5">
        <v>4080</v>
      </c>
      <c r="B4141" s="138">
        <f>'Acct Summary 7-8'!H19</f>
        <v>536658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211505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10790000</v>
      </c>
      <c r="C4171" s="2" t="s">
        <v>573</v>
      </c>
      <c r="D4171" s="2" t="str">
        <f t="shared" si="64"/>
        <v>Error?</v>
      </c>
    </row>
    <row r="4172" spans="1:4" x14ac:dyDescent="0.2">
      <c r="A4172" s="5">
        <v>4111</v>
      </c>
      <c r="B4172" s="138">
        <f>'Short-Term Long-Term Debt 24'!J49</f>
        <v>10190758</v>
      </c>
      <c r="C4172" s="2" t="s">
        <v>573</v>
      </c>
      <c r="D4172" s="2" t="str">
        <f t="shared" si="64"/>
        <v>Error?</v>
      </c>
    </row>
    <row r="4173" spans="1:4" x14ac:dyDescent="0.2">
      <c r="A4173" s="5">
        <v>4112</v>
      </c>
      <c r="B4173" s="138">
        <f>'Short-Term Long-Term Debt 24'!H49</f>
        <v>990000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2330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3030</v>
      </c>
      <c r="C4268" s="2" t="s">
        <v>573</v>
      </c>
      <c r="D4268" s="2" t="str">
        <f t="shared" si="65"/>
        <v>Error?</v>
      </c>
    </row>
    <row r="4269" spans="1:5" x14ac:dyDescent="0.2">
      <c r="A4269" s="12">
        <v>4208</v>
      </c>
      <c r="B4269" s="138">
        <f>'FP Info 3'!J16</f>
        <v>5200696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7512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9402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24622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2370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151565643</v>
      </c>
      <c r="D4995" s="2" t="str">
        <f t="shared" si="77"/>
        <v>Error?</v>
      </c>
    </row>
    <row r="4996" spans="1:4" x14ac:dyDescent="0.2">
      <c r="A4996" s="12">
        <v>4935</v>
      </c>
      <c r="B4996" s="138">
        <f>'FP Info 3'!H31</f>
        <v>20916058.734000001</v>
      </c>
      <c r="D4996" s="2" t="str">
        <f t="shared" si="77"/>
        <v>Error?</v>
      </c>
    </row>
    <row r="4997" spans="1:4" x14ac:dyDescent="0.2">
      <c r="A4997" s="12">
        <v>4936</v>
      </c>
      <c r="B4997" s="138">
        <f>'FP Info 3'!H37</f>
        <v>10790000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500000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500000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65056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3031608</v>
      </c>
      <c r="D5061" s="2" t="str">
        <f t="shared" si="78"/>
        <v>Error?</v>
      </c>
    </row>
    <row r="5062" spans="1:4" x14ac:dyDescent="0.2">
      <c r="A5062" s="10">
        <v>5001</v>
      </c>
      <c r="D5062" s="2" t="str">
        <f t="shared" si="78"/>
        <v>OK</v>
      </c>
    </row>
    <row r="5063" spans="1:4" x14ac:dyDescent="0.2">
      <c r="A5063" s="5">
        <v>5002</v>
      </c>
      <c r="B5063" s="138">
        <f>'Revenues 9-14'!C7</f>
        <v>52045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3148709</v>
      </c>
      <c r="C5066" s="2" t="s">
        <v>573</v>
      </c>
      <c r="D5066" s="2" t="str">
        <f t="shared" si="78"/>
        <v>Error?</v>
      </c>
    </row>
    <row r="5067" spans="1:4" x14ac:dyDescent="0.2">
      <c r="A5067" s="5">
        <v>5006</v>
      </c>
      <c r="B5067" s="138">
        <f>'Revenues 9-14'!C14</f>
        <v>100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136820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136920</v>
      </c>
      <c r="C5071" s="2" t="s">
        <v>573</v>
      </c>
      <c r="D5071" s="2" t="str">
        <f t="shared" si="78"/>
        <v>Error?</v>
      </c>
    </row>
    <row r="5072" spans="1:4" x14ac:dyDescent="0.2">
      <c r="A5072" s="5">
        <v>5011</v>
      </c>
      <c r="B5072" s="138">
        <f>'Revenues 9-14'!C20</f>
        <v>8732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2375</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11107</v>
      </c>
      <c r="C5087" s="2" t="s">
        <v>573</v>
      </c>
      <c r="D5087" s="2" t="str">
        <f t="shared" si="78"/>
        <v>Error?</v>
      </c>
    </row>
    <row r="5088" spans="1:4" x14ac:dyDescent="0.2">
      <c r="A5088" s="5">
        <v>5027</v>
      </c>
      <c r="B5088" s="138">
        <f>'Revenues 9-14'!C65</f>
        <v>52719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52719</v>
      </c>
      <c r="C5090" s="2" t="s">
        <v>573</v>
      </c>
      <c r="D5090" s="2" t="str">
        <f t="shared" si="78"/>
        <v>Error?</v>
      </c>
    </row>
    <row r="5091" spans="1:4" x14ac:dyDescent="0.2">
      <c r="A5091" s="5">
        <v>5030</v>
      </c>
      <c r="B5091" s="138">
        <f>'Revenues 9-14'!C70</f>
        <v>10329</v>
      </c>
      <c r="D5091" s="2" t="str">
        <f t="shared" si="78"/>
        <v>Error?</v>
      </c>
    </row>
    <row r="5092" spans="1:4" x14ac:dyDescent="0.2">
      <c r="A5092" s="5">
        <v>5031</v>
      </c>
      <c r="B5092" s="138">
        <f>'Revenues 9-14'!C71</f>
        <v>131972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4205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279385</v>
      </c>
      <c r="C5096" s="2" t="s">
        <v>573</v>
      </c>
      <c r="D5096" s="2" t="str">
        <f t="shared" si="78"/>
        <v>Error?</v>
      </c>
    </row>
    <row r="5097" spans="1:4" x14ac:dyDescent="0.2">
      <c r="A5097" s="5">
        <v>5036</v>
      </c>
      <c r="B5097" s="138">
        <f>'Revenues 9-14'!C77</f>
        <v>28245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22336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50581</v>
      </c>
      <c r="C5102" s="2" t="s">
        <v>573</v>
      </c>
      <c r="D5102" s="2" t="str">
        <f t="shared" si="78"/>
        <v>Error?</v>
      </c>
    </row>
    <row r="5103" spans="1:4" x14ac:dyDescent="0.2">
      <c r="A5103" s="5">
        <v>5042</v>
      </c>
      <c r="B5103" s="138">
        <f>'Revenues 9-14'!C84</f>
        <v>70024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70034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78899</v>
      </c>
      <c r="D5119" s="2" t="str">
        <f t="shared" ref="D5119:D5182" si="79">IF(ISBLANK(B5119),"OK",IF(A5119-B5119=0,"OK","Error?"))</f>
        <v>Error?</v>
      </c>
    </row>
    <row r="5120" spans="1:4" x14ac:dyDescent="0.2">
      <c r="A5120" s="5">
        <v>5059</v>
      </c>
      <c r="B5120" s="138">
        <f>'Revenues 9-14'!C108</f>
        <v>95217</v>
      </c>
      <c r="C5120" s="2" t="s">
        <v>573</v>
      </c>
      <c r="D5120" s="2" t="str">
        <f t="shared" si="79"/>
        <v>Error?</v>
      </c>
    </row>
    <row r="5121" spans="1:4" x14ac:dyDescent="0.2">
      <c r="A5121" s="5">
        <v>5060</v>
      </c>
      <c r="B5121" s="138">
        <f>'Revenues 9-14'!C109</f>
        <v>3844672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2030478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2030478</v>
      </c>
      <c r="C5132" s="2" t="s">
        <v>573</v>
      </c>
      <c r="D5132" s="2" t="str">
        <f t="shared" si="79"/>
        <v>Error?</v>
      </c>
    </row>
    <row r="5133" spans="1:4" x14ac:dyDescent="0.2">
      <c r="A5133" s="5">
        <v>5072</v>
      </c>
      <c r="B5133" s="138">
        <f>'Revenues 9-14'!C125</f>
        <v>39194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39194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29495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3098</v>
      </c>
      <c r="D5167" s="2" t="str">
        <f t="shared" si="79"/>
        <v>Error?</v>
      </c>
    </row>
    <row r="5168" spans="1:4" x14ac:dyDescent="0.2">
      <c r="A5168" s="5">
        <v>5107</v>
      </c>
      <c r="B5168" s="138">
        <f>'Revenues 9-14'!C148</f>
        <v>14998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191447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280602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2311080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153505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36298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189803</v>
      </c>
      <c r="C5246" s="2" t="s">
        <v>573</v>
      </c>
      <c r="D5246" s="2" t="str">
        <f t="shared" si="80"/>
        <v>Error?</v>
      </c>
    </row>
    <row r="5247" spans="1:4" x14ac:dyDescent="0.2">
      <c r="A5247" s="5">
        <v>5186</v>
      </c>
      <c r="B5247" s="138">
        <f>'Revenues 9-14'!C200</f>
        <v>156417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9402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156417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7706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135432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143138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530894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530894</v>
      </c>
      <c r="C5326" s="2" t="s">
        <v>573</v>
      </c>
      <c r="D5326" s="2" t="str">
        <f t="shared" si="82"/>
        <v>Error?</v>
      </c>
    </row>
    <row r="5327" spans="1:5" x14ac:dyDescent="0.2">
      <c r="A5327" s="5">
        <v>5266</v>
      </c>
      <c r="B5327" s="138">
        <f>'Revenues 9-14'!C268</f>
        <v>6686646</v>
      </c>
      <c r="C5327" s="2" t="s">
        <v>573</v>
      </c>
      <c r="D5327" s="2" t="str">
        <f t="shared" si="82"/>
        <v>Error?</v>
      </c>
    </row>
    <row r="5328" spans="1:5" x14ac:dyDescent="0.2">
      <c r="A5328" s="5">
        <v>5267</v>
      </c>
      <c r="B5328" s="138">
        <f>'Revenues 9-14'!D5</f>
        <v>650560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650560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11437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11437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6350</v>
      </c>
      <c r="D5354" s="2" t="str">
        <f t="shared" si="82"/>
        <v>Error?</v>
      </c>
    </row>
    <row r="5355" spans="1:4" x14ac:dyDescent="0.2">
      <c r="A5355" s="5">
        <v>5294</v>
      </c>
      <c r="B5355" s="138">
        <f>'Revenues 9-14'!D108</f>
        <v>6350</v>
      </c>
      <c r="C5355" s="2" t="s">
        <v>573</v>
      </c>
      <c r="D5355" s="2" t="str">
        <f t="shared" si="82"/>
        <v>Error?</v>
      </c>
    </row>
    <row r="5356" spans="1:4" x14ac:dyDescent="0.2">
      <c r="A5356" s="5">
        <v>5295</v>
      </c>
      <c r="B5356" s="138">
        <f>'Revenues 9-14'!D109</f>
        <v>668347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668347</v>
      </c>
      <c r="C5508" s="2" t="s">
        <v>573</v>
      </c>
      <c r="D5508" s="2" t="str">
        <f t="shared" si="85"/>
        <v>Error?</v>
      </c>
    </row>
    <row r="5509" spans="1:4" x14ac:dyDescent="0.2">
      <c r="A5509" s="5">
        <v>5448</v>
      </c>
      <c r="B5509" s="138">
        <f>'Revenues 9-14'!E5</f>
        <v>1166164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1166164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20401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20401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141442</v>
      </c>
      <c r="C5526" s="2" t="s">
        <v>573</v>
      </c>
      <c r="D5526" s="2" t="str">
        <f t="shared" si="85"/>
        <v>Error?</v>
      </c>
    </row>
    <row r="5527" spans="1:4" x14ac:dyDescent="0.2">
      <c r="A5527" s="5">
        <v>5466</v>
      </c>
      <c r="B5527" s="138">
        <f>'Revenues 9-14'!E109</f>
        <v>1328007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1328007</v>
      </c>
      <c r="C5552" s="2" t="s">
        <v>573</v>
      </c>
      <c r="D5552" s="2" t="str">
        <f t="shared" si="85"/>
        <v>Error?</v>
      </c>
    </row>
    <row r="5553" spans="1:4" x14ac:dyDescent="0.2">
      <c r="A5553" s="5">
        <v>5492</v>
      </c>
      <c r="B5553" s="138">
        <f>'Revenues 9-14'!F5</f>
        <v>260224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260224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4563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4563</v>
      </c>
      <c r="C5579" s="2" t="s">
        <v>573</v>
      </c>
      <c r="D5579" s="2" t="str">
        <f t="shared" si="86"/>
        <v>Error?</v>
      </c>
    </row>
    <row r="5580" spans="1:4" x14ac:dyDescent="0.2">
      <c r="A5580" s="5">
        <v>5519</v>
      </c>
      <c r="B5580" s="138">
        <f>'Revenues 9-14'!F65</f>
        <v>15110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15110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380</v>
      </c>
      <c r="D5586" s="2" t="str">
        <f t="shared" si="86"/>
        <v>Error?</v>
      </c>
    </row>
    <row r="5587" spans="1:4" x14ac:dyDescent="0.2">
      <c r="A5587" s="5">
        <v>5526</v>
      </c>
      <c r="B5587" s="138">
        <f>'Revenues 9-14'!F108</f>
        <v>380</v>
      </c>
      <c r="C5587" s="2" t="s">
        <v>573</v>
      </c>
      <c r="D5587" s="2" t="str">
        <f t="shared" si="86"/>
        <v>Error?</v>
      </c>
    </row>
    <row r="5588" spans="1:4" x14ac:dyDescent="0.2">
      <c r="A5588" s="5">
        <v>5527</v>
      </c>
      <c r="B5588" s="138">
        <f>'Revenues 9-14'!F109</f>
        <v>280277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176304</v>
      </c>
      <c r="D5615" s="2" t="str">
        <f t="shared" si="86"/>
        <v>Error?</v>
      </c>
    </row>
    <row r="5616" spans="1:4" x14ac:dyDescent="0.2">
      <c r="A5616" s="10">
        <v>5555</v>
      </c>
      <c r="D5616" s="2" t="str">
        <f t="shared" si="86"/>
        <v>OK</v>
      </c>
    </row>
    <row r="5617" spans="1:5" x14ac:dyDescent="0.2">
      <c r="A5617" s="5">
        <v>5556</v>
      </c>
      <c r="B5617" s="138">
        <f>'Revenues 9-14'!F153</f>
        <v>91676</v>
      </c>
      <c r="D5617" s="2" t="str">
        <f t="shared" si="86"/>
        <v>Error?</v>
      </c>
    </row>
    <row r="5618" spans="1:5" x14ac:dyDescent="0.2">
      <c r="A5618" s="5">
        <v>5557</v>
      </c>
      <c r="B5618" s="138">
        <f>'Revenues 9-14'!F155</f>
        <v>267980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267980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267980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548257</v>
      </c>
      <c r="C5720" s="2" t="s">
        <v>573</v>
      </c>
      <c r="D5720" s="2" t="str">
        <f t="shared" si="88"/>
        <v>Error?</v>
      </c>
    </row>
    <row r="5721" spans="1:4" x14ac:dyDescent="0.2">
      <c r="A5721" s="5">
        <v>5660</v>
      </c>
      <c r="B5721" s="138">
        <f>'Revenues 9-14'!G5</f>
        <v>59760</v>
      </c>
      <c r="D5721" s="2" t="str">
        <f t="shared" si="88"/>
        <v>Error?</v>
      </c>
    </row>
    <row r="5722" spans="1:4" x14ac:dyDescent="0.2">
      <c r="A5722" s="5">
        <v>5661</v>
      </c>
      <c r="B5722" s="138">
        <f>'Revenues 9-14'!G7</f>
        <v>0</v>
      </c>
      <c r="D5722" s="2" t="str">
        <f t="shared" si="88"/>
        <v>Error?</v>
      </c>
    </row>
    <row r="5723" spans="1:4" x14ac:dyDescent="0.2">
      <c r="A5723" s="5">
        <v>5662</v>
      </c>
      <c r="B5723" s="138">
        <f>'Revenues 9-14'!G8</f>
        <v>137177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196937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8000</v>
      </c>
      <c r="C5730" s="2" t="s">
        <v>573</v>
      </c>
      <c r="D5730" s="2" t="str">
        <f t="shared" si="88"/>
        <v>Error?</v>
      </c>
    </row>
    <row r="5731" spans="1:4" x14ac:dyDescent="0.2">
      <c r="A5731" s="5">
        <v>5670</v>
      </c>
      <c r="B5731" s="138">
        <f>'Revenues 9-14'!G65</f>
        <v>3354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3354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208291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42504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42504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438115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480619</v>
      </c>
      <c r="C5915" s="2" t="s">
        <v>573</v>
      </c>
      <c r="D5915" s="2" t="str">
        <f t="shared" si="91"/>
        <v>Error?</v>
      </c>
    </row>
    <row r="5916" spans="1:4" x14ac:dyDescent="0.2">
      <c r="A5916" s="5">
        <v>5855</v>
      </c>
      <c r="B5916" s="138">
        <f>'Revenues 9-14'!I5</f>
        <v>65056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65056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43474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43474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108530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65056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65056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10237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10237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75293</v>
      </c>
      <c r="C6023" s="2" t="s">
        <v>573</v>
      </c>
      <c r="D6023" s="2" t="str">
        <f t="shared" si="93"/>
        <v>Error?</v>
      </c>
    </row>
    <row r="6024" spans="1:5" x14ac:dyDescent="0.2">
      <c r="A6024" s="5">
        <v>5963</v>
      </c>
      <c r="B6024" s="138">
        <f>'Revenues 9-14'!G109</f>
        <v>208291</v>
      </c>
      <c r="C6024" s="2" t="s">
        <v>573</v>
      </c>
      <c r="D6024" s="2" t="str">
        <f t="shared" si="93"/>
        <v>Error?</v>
      </c>
    </row>
    <row r="6025" spans="1:5" x14ac:dyDescent="0.2">
      <c r="A6025" s="5">
        <v>5964</v>
      </c>
      <c r="B6025" s="138">
        <f>'Revenues 9-14'!H109</f>
        <v>480619</v>
      </c>
      <c r="C6025" s="2" t="s">
        <v>573</v>
      </c>
      <c r="D6025" s="2" t="str">
        <f t="shared" si="93"/>
        <v>Error?</v>
      </c>
    </row>
    <row r="6026" spans="1:5" x14ac:dyDescent="0.2">
      <c r="A6026" s="5">
        <v>5965</v>
      </c>
      <c r="B6026" s="138">
        <f>'Revenues 9-14'!I109</f>
        <v>108530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75293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132879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27326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912.4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151243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151243</v>
      </c>
      <c r="D6215" s="2" t="str">
        <f t="shared" si="96"/>
        <v>Error?</v>
      </c>
      <c r="E6215" s="2" t="s">
        <v>190</v>
      </c>
    </row>
    <row r="6216" spans="1:5" x14ac:dyDescent="0.2">
      <c r="A6216">
        <v>6155</v>
      </c>
      <c r="B6216" s="138">
        <f>'Assets-Liab 5-6'!J41</f>
        <v>151243</v>
      </c>
      <c r="D6216" s="2" t="str">
        <f t="shared" si="96"/>
        <v>Error?</v>
      </c>
      <c r="E6216" s="2" t="s">
        <v>190</v>
      </c>
    </row>
    <row r="6217" spans="1:5" x14ac:dyDescent="0.2">
      <c r="A6217">
        <v>6156</v>
      </c>
      <c r="B6217" s="138">
        <f>'Assets-Liab 5-6'!J4</f>
        <v>48</v>
      </c>
      <c r="D6217" s="2" t="str">
        <f t="shared" si="96"/>
        <v>Error?</v>
      </c>
      <c r="E6217" s="2" t="s">
        <v>190</v>
      </c>
    </row>
    <row r="6218" spans="1:5" x14ac:dyDescent="0.2">
      <c r="A6218">
        <v>6157</v>
      </c>
      <c r="B6218" s="138">
        <f>'Assets-Liab 5-6'!J5</f>
        <v>151195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416022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416022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416022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390926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390926</v>
      </c>
      <c r="D6229" s="2" t="str">
        <f t="shared" si="96"/>
        <v>Error?</v>
      </c>
      <c r="E6229" s="2" t="s">
        <v>190</v>
      </c>
    </row>
    <row r="6230" spans="1:5" x14ac:dyDescent="0.2">
      <c r="A6230">
        <v>6169</v>
      </c>
      <c r="B6230" s="138">
        <f>'Acct Summary 7-8'!J20</f>
        <v>25096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65056</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25096</v>
      </c>
      <c r="D6263" s="2" t="str">
        <f t="shared" si="96"/>
        <v>Error?</v>
      </c>
      <c r="E6263" s="2" t="s">
        <v>190</v>
      </c>
    </row>
    <row r="6264" spans="1:5" x14ac:dyDescent="0.2">
      <c r="A6264">
        <v>6203</v>
      </c>
      <c r="B6264" s="138">
        <f>'Acct Summary 7-8'!J79</f>
        <v>126147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151243</v>
      </c>
      <c r="D6266" s="2" t="str">
        <f t="shared" si="96"/>
        <v>Error?</v>
      </c>
      <c r="E6266" s="2" t="s">
        <v>190</v>
      </c>
    </row>
    <row r="6267" spans="1:5" x14ac:dyDescent="0.2">
      <c r="A6267">
        <v>6206</v>
      </c>
      <c r="B6267" s="138">
        <f>'Acct Summary 7-8'!C82</f>
        <v>291258</v>
      </c>
      <c r="D6267" s="2" t="str">
        <f t="shared" si="96"/>
        <v>Error?</v>
      </c>
      <c r="E6267" s="2" t="s">
        <v>190</v>
      </c>
    </row>
    <row r="6268" spans="1:5" x14ac:dyDescent="0.2">
      <c r="A6268">
        <v>6207</v>
      </c>
      <c r="B6268" s="138">
        <f>'Acct Summary 7-8'!D82</f>
        <v>-78562</v>
      </c>
      <c r="D6268" s="2" t="str">
        <f t="shared" si="96"/>
        <v>Error?</v>
      </c>
      <c r="E6268" s="2" t="s">
        <v>190</v>
      </c>
    </row>
    <row r="6269" spans="1:5" x14ac:dyDescent="0.2">
      <c r="A6269">
        <v>6208</v>
      </c>
      <c r="B6269" s="138">
        <f>'Acct Summary 7-8'!E82</f>
        <v>-16306</v>
      </c>
      <c r="D6269" s="2" t="str">
        <f t="shared" si="96"/>
        <v>Error?</v>
      </c>
      <c r="E6269" s="2" t="s">
        <v>190</v>
      </c>
    </row>
    <row r="6270" spans="1:5" x14ac:dyDescent="0.2">
      <c r="A6270">
        <v>6209</v>
      </c>
      <c r="B6270" s="138">
        <f>'Acct Summary 7-8'!F82</f>
        <v>39878</v>
      </c>
      <c r="D6270" s="2" t="str">
        <f t="shared" si="96"/>
        <v>Error?</v>
      </c>
      <c r="E6270" s="2" t="s">
        <v>190</v>
      </c>
    </row>
    <row r="6271" spans="1:5" x14ac:dyDescent="0.2">
      <c r="A6271">
        <v>6210</v>
      </c>
      <c r="B6271" s="138">
        <f>'Acct Summary 7-8'!G82</f>
        <v>12304</v>
      </c>
      <c r="D6271" s="2" t="str">
        <f t="shared" ref="D6271:D6334" si="97">IF(ISBLANK(B6271),"OK",IF(A6271-B6271=0,"OK","Error?"))</f>
        <v>Error?</v>
      </c>
      <c r="E6271" s="2" t="s">
        <v>190</v>
      </c>
    </row>
    <row r="6272" spans="1:5" x14ac:dyDescent="0.2">
      <c r="A6272">
        <v>6211</v>
      </c>
      <c r="B6272" s="138">
        <f>'Acct Summary 7-8'!H82</f>
        <v>-556039</v>
      </c>
      <c r="D6272" s="2" t="str">
        <f t="shared" si="97"/>
        <v>Error?</v>
      </c>
      <c r="E6272" s="2" t="s">
        <v>190</v>
      </c>
    </row>
    <row r="6273" spans="1:5" x14ac:dyDescent="0.2">
      <c r="A6273">
        <v>6212</v>
      </c>
      <c r="B6273" s="138">
        <f>'Acct Summary 7-8'!I82</f>
        <v>1533530</v>
      </c>
      <c r="D6273" s="2" t="str">
        <f t="shared" si="97"/>
        <v>Error?</v>
      </c>
      <c r="E6273" s="2" t="s">
        <v>190</v>
      </c>
    </row>
    <row r="6274" spans="1:5" x14ac:dyDescent="0.2">
      <c r="A6274">
        <v>6213</v>
      </c>
      <c r="B6274" s="138">
        <f>'Acct Summary 7-8'!J82</f>
        <v>25096</v>
      </c>
      <c r="D6274" s="2" t="str">
        <f t="shared" si="97"/>
        <v>Error?</v>
      </c>
      <c r="E6274" s="2" t="s">
        <v>190</v>
      </c>
    </row>
    <row r="6275" spans="1:5" x14ac:dyDescent="0.2">
      <c r="A6275">
        <v>6214</v>
      </c>
      <c r="B6275" s="138">
        <f>'Acct Summary 7-8'!K82</f>
        <v>-136212</v>
      </c>
      <c r="D6275" s="2" t="str">
        <f t="shared" si="97"/>
        <v>Error?</v>
      </c>
      <c r="E6275" s="2" t="s">
        <v>190</v>
      </c>
    </row>
    <row r="6276" spans="1:5" x14ac:dyDescent="0.2">
      <c r="A6276">
        <v>6215</v>
      </c>
      <c r="B6276" s="138">
        <f>'Acct Summary 7-8'!C83</f>
        <v>0.17839531315556562</v>
      </c>
      <c r="D6276" s="2" t="str">
        <f t="shared" si="97"/>
        <v>Error?</v>
      </c>
      <c r="E6276" s="2" t="s">
        <v>190</v>
      </c>
    </row>
    <row r="6277" spans="1:5" x14ac:dyDescent="0.2">
      <c r="A6277">
        <v>6216</v>
      </c>
      <c r="B6277" s="138">
        <f>'Acct Summary 7-8'!D83</f>
        <v>-0.34806918673684584</v>
      </c>
      <c r="D6277" s="2" t="str">
        <f t="shared" si="97"/>
        <v>Error?</v>
      </c>
      <c r="E6277" s="2" t="s">
        <v>190</v>
      </c>
    </row>
    <row r="6278" spans="1:5" x14ac:dyDescent="0.2">
      <c r="A6278">
        <v>6217</v>
      </c>
      <c r="B6278" s="138">
        <f>'Acct Summary 7-8'!E83</f>
        <v>-2.7211043284682983E-2</v>
      </c>
      <c r="D6278" s="2" t="str">
        <f t="shared" si="97"/>
        <v>Error?</v>
      </c>
      <c r="E6278" s="2" t="s">
        <v>190</v>
      </c>
    </row>
    <row r="6279" spans="1:5" x14ac:dyDescent="0.2">
      <c r="A6279">
        <v>6218</v>
      </c>
      <c r="B6279" s="138">
        <f>'Acct Summary 7-8'!F83</f>
        <v>6.0349250212246915E-2</v>
      </c>
      <c r="D6279" s="2" t="str">
        <f t="shared" si="97"/>
        <v>Error?</v>
      </c>
      <c r="E6279" s="2" t="s">
        <v>190</v>
      </c>
    </row>
    <row r="6280" spans="1:5" x14ac:dyDescent="0.2">
      <c r="A6280">
        <v>6219</v>
      </c>
      <c r="B6280" s="138">
        <f>'Acct Summary 7-8'!G83</f>
        <v>0.14369131592469753</v>
      </c>
      <c r="D6280" s="2" t="str">
        <f t="shared" si="97"/>
        <v>Error?</v>
      </c>
      <c r="E6280" s="2" t="s">
        <v>190</v>
      </c>
    </row>
    <row r="6281" spans="1:5" x14ac:dyDescent="0.2">
      <c r="A6281">
        <v>6220</v>
      </c>
      <c r="B6281" s="138">
        <f>'Acct Summary 7-8'!H83</f>
        <v>-0.38784903965269019</v>
      </c>
      <c r="D6281" s="2" t="str">
        <f t="shared" si="97"/>
        <v>Error?</v>
      </c>
      <c r="E6281" s="2" t="s">
        <v>190</v>
      </c>
    </row>
    <row r="6282" spans="1:5" x14ac:dyDescent="0.2">
      <c r="A6282">
        <v>6221</v>
      </c>
      <c r="B6282" s="138">
        <f>'Acct Summary 7-8'!I83</f>
        <v>0.57188278701912998</v>
      </c>
      <c r="D6282" s="2" t="str">
        <f t="shared" si="97"/>
        <v>Error?</v>
      </c>
      <c r="E6282" s="2" t="s">
        <v>190</v>
      </c>
    </row>
    <row r="6283" spans="1:5" x14ac:dyDescent="0.2">
      <c r="A6283">
        <v>6222</v>
      </c>
      <c r="B6283" s="138">
        <f>'Acct Summary 7-8'!J83</f>
        <v>0.16593164642330555</v>
      </c>
      <c r="D6283" s="2" t="str">
        <f t="shared" si="97"/>
        <v>Error?</v>
      </c>
      <c r="E6283" s="2" t="s">
        <v>190</v>
      </c>
    </row>
    <row r="6284" spans="1:5" x14ac:dyDescent="0.2">
      <c r="A6284">
        <v>6223</v>
      </c>
      <c r="B6284" s="138">
        <f>'Acct Summary 7-8'!K83</f>
        <v>-0.49943900560994392</v>
      </c>
      <c r="D6284" s="2" t="str">
        <f t="shared" si="97"/>
        <v>Error?</v>
      </c>
      <c r="E6284" s="2" t="s">
        <v>190</v>
      </c>
    </row>
    <row r="6285" spans="1:5" x14ac:dyDescent="0.2">
      <c r="A6285">
        <v>6224</v>
      </c>
      <c r="B6285" s="138">
        <f>'Acct Summary 7-8'!E37</f>
        <v>65056</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409228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409228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6794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6794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16318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416022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29495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125089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174225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46400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361867</v>
      </c>
      <c r="D6983" s="2" t="str">
        <f t="shared" si="108"/>
        <v>Error?</v>
      </c>
    </row>
    <row r="6984" spans="1:4" x14ac:dyDescent="0.2">
      <c r="A6984">
        <v>6923</v>
      </c>
      <c r="B6984" s="138">
        <f>'Expenditures 15-22'!K86</f>
        <v>361867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30600</v>
      </c>
      <c r="D6987" s="2" t="str">
        <f t="shared" si="108"/>
        <v>Error?</v>
      </c>
    </row>
    <row r="6988" spans="1:4" x14ac:dyDescent="0.2">
      <c r="A6988">
        <v>6927</v>
      </c>
      <c r="B6988" s="138">
        <f>'Expenditures 15-22'!K88</f>
        <v>30600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392467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390926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416022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4928</v>
      </c>
      <c r="D7075" s="2" t="str">
        <f t="shared" si="109"/>
        <v>Error?</v>
      </c>
    </row>
    <row r="7076" spans="1:4" x14ac:dyDescent="0.2">
      <c r="A7076">
        <v>7015</v>
      </c>
      <c r="B7076" s="138">
        <f>'Expenditures 15-22'!K218</f>
        <v>4928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634</v>
      </c>
      <c r="D7079" s="2" t="str">
        <f t="shared" si="109"/>
        <v>Error?</v>
      </c>
    </row>
    <row r="7080" spans="1:4" x14ac:dyDescent="0.2">
      <c r="A7080">
        <v>7019</v>
      </c>
      <c r="B7080" s="138">
        <f>'Expenditures 15-22'!K226</f>
        <v>634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136108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136108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233864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233864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20954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20954</v>
      </c>
      <c r="D7198" s="2" t="str">
        <f t="shared" si="111"/>
        <v>Error?</v>
      </c>
    </row>
    <row r="7199" spans="1:4" x14ac:dyDescent="0.2">
      <c r="A7199">
        <v>7138</v>
      </c>
      <c r="B7199" s="138">
        <f>'Expenditures 15-22'!C330</f>
        <v>233864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157062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390926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233864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157062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390926</v>
      </c>
      <c r="D7224" s="2" t="str">
        <f t="shared" si="111"/>
        <v>Error?</v>
      </c>
    </row>
    <row r="7225" spans="1:4" x14ac:dyDescent="0.2">
      <c r="A7225">
        <v>7164</v>
      </c>
      <c r="B7225" s="138">
        <f>'Expenditures 15-22'!K343</f>
        <v>25096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13660</v>
      </c>
      <c r="D7246" s="2" t="str">
        <f t="shared" si="112"/>
        <v>Error?</v>
      </c>
    </row>
    <row r="7247" spans="1:4" x14ac:dyDescent="0.2">
      <c r="A7247">
        <f t="shared" si="113"/>
        <v>7186</v>
      </c>
      <c r="B7247" s="138">
        <f>'Expenditures 15-22'!E7</f>
        <v>4978</v>
      </c>
      <c r="D7247" s="2" t="str">
        <f t="shared" si="112"/>
        <v>Error?</v>
      </c>
    </row>
    <row r="7248" spans="1:4" x14ac:dyDescent="0.2">
      <c r="A7248">
        <f t="shared" si="113"/>
        <v>7187</v>
      </c>
      <c r="B7248" s="138">
        <f>'Expenditures 15-22'!F7</f>
        <v>22596</v>
      </c>
      <c r="D7248" s="2" t="str">
        <f t="shared" si="112"/>
        <v>Error?</v>
      </c>
    </row>
    <row r="7249" spans="1:4" x14ac:dyDescent="0.2">
      <c r="A7249">
        <f t="shared" si="113"/>
        <v>7188</v>
      </c>
      <c r="B7249" s="138">
        <f>'Expenditures 15-22'!G7</f>
        <v>7902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40262</v>
      </c>
      <c r="D7263" s="2" t="str">
        <f t="shared" si="112"/>
        <v>Error?</v>
      </c>
    </row>
    <row r="7264" spans="1:4" x14ac:dyDescent="0.2">
      <c r="A7264">
        <f t="shared" si="113"/>
        <v>7203</v>
      </c>
      <c r="B7264" s="138">
        <f>'Expenditures 15-22'!D17</f>
        <v>5403</v>
      </c>
      <c r="D7264" s="2" t="str">
        <f t="shared" si="112"/>
        <v>Error?</v>
      </c>
    </row>
    <row r="7265" spans="1:5" x14ac:dyDescent="0.2">
      <c r="A7265">
        <f t="shared" si="113"/>
        <v>7204</v>
      </c>
      <c r="B7265" s="138">
        <f>'Expenditures 15-22'!E17</f>
        <v>735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838588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931324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42504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16318</v>
      </c>
      <c r="D7712" s="2" t="str">
        <f t="shared" si="126"/>
        <v>Error?</v>
      </c>
      <c r="E7712" s="2" t="s">
        <v>827</v>
      </c>
    </row>
    <row r="7713" spans="1:6" x14ac:dyDescent="0.2">
      <c r="A7713">
        <v>7652</v>
      </c>
      <c r="B7713" s="138">
        <f>'Rest Tax Levies-Tort Im 25'!J8</f>
        <v>579557</v>
      </c>
      <c r="D7713" s="2" t="str">
        <f t="shared" si="126"/>
        <v>Error?</v>
      </c>
      <c r="E7713" s="2" t="s">
        <v>827</v>
      </c>
    </row>
    <row r="7714" spans="1:6" x14ac:dyDescent="0.2">
      <c r="A7714">
        <v>7653</v>
      </c>
      <c r="B7714" s="138">
        <f>'Rest Tax Levies-Tort Im 25'!K9</f>
        <v>14998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622061</v>
      </c>
      <c r="D7718" s="2" t="str">
        <f t="shared" si="126"/>
        <v>Error?</v>
      </c>
      <c r="E7718" s="2" t="s">
        <v>827</v>
      </c>
    </row>
    <row r="7719" spans="1:6" x14ac:dyDescent="0.2">
      <c r="A7719">
        <v>7658</v>
      </c>
      <c r="B7719" s="138">
        <f>'Rest Tax Levies-Tort Im 25'!K12</f>
        <v>31316</v>
      </c>
      <c r="D7719" s="2" t="str">
        <f t="shared" si="126"/>
        <v>Error?</v>
      </c>
      <c r="E7719" s="2" t="s">
        <v>827</v>
      </c>
    </row>
    <row r="7720" spans="1:6" x14ac:dyDescent="0.2">
      <c r="A7720">
        <v>7659</v>
      </c>
      <c r="B7720" s="138">
        <f>'Rest Tax Levies-Tort Im 25'!H14</f>
        <v>52045</v>
      </c>
      <c r="D7720" s="2" t="str">
        <f t="shared" si="126"/>
        <v>Error?</v>
      </c>
      <c r="E7720" s="2" t="s">
        <v>827</v>
      </c>
    </row>
    <row r="7721" spans="1:6" x14ac:dyDescent="0.2">
      <c r="A7721">
        <v>7660</v>
      </c>
      <c r="B7721" s="138">
        <f>'Rest Tax Levies-Tort Im 25'!K14</f>
        <v>31316</v>
      </c>
      <c r="D7721" s="2" t="str">
        <f t="shared" si="126"/>
        <v>Error?</v>
      </c>
      <c r="E7721" s="2" t="s">
        <v>827</v>
      </c>
    </row>
    <row r="7722" spans="1:6" x14ac:dyDescent="0.2">
      <c r="A7722">
        <v>7661</v>
      </c>
      <c r="B7722" s="138">
        <f>'Rest Tax Levies-Tort Im 25'!J15</f>
        <v>536658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141442</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141442</v>
      </c>
      <c r="D7727" s="2" t="str">
        <f t="shared" si="126"/>
        <v>Error?</v>
      </c>
      <c r="E7727" s="2" t="s">
        <v>827</v>
      </c>
    </row>
    <row r="7728" spans="1:6" x14ac:dyDescent="0.2">
      <c r="A7728">
        <v>7667</v>
      </c>
      <c r="B7728" s="138">
        <f>'Revenues 9-14'!E103</f>
        <v>141442</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678100</v>
      </c>
      <c r="D7730" s="2" t="str">
        <f t="shared" si="126"/>
        <v>Error?</v>
      </c>
      <c r="E7730" s="2" t="s">
        <v>827</v>
      </c>
    </row>
    <row r="7731" spans="1:6" x14ac:dyDescent="0.2">
      <c r="A7731">
        <v>7670</v>
      </c>
      <c r="B7731" s="138">
        <f>'Revenues 9-14'!H103</f>
        <v>438115</v>
      </c>
      <c r="D7731" s="2" t="str">
        <f t="shared" si="126"/>
        <v>Error?</v>
      </c>
      <c r="E7731" s="2" t="s">
        <v>827</v>
      </c>
    </row>
    <row r="7732" spans="1:6" x14ac:dyDescent="0.2">
      <c r="A7732">
        <v>7671</v>
      </c>
      <c r="B7732" s="138">
        <f>'Rest Tax Levies-Tort Im 25'!J24</f>
        <v>875285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875285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140000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39353</v>
      </c>
      <c r="D7797" s="2" t="str">
        <f t="shared" si="127"/>
        <v>Error?</v>
      </c>
      <c r="E7797" s="4" t="s">
        <v>1903</v>
      </c>
    </row>
    <row r="7798" spans="1:5" x14ac:dyDescent="0.2">
      <c r="A7798">
        <v>7737</v>
      </c>
      <c r="B7798" s="138">
        <f>'Contracts Paid in CY 29'!F141</f>
        <v>25000</v>
      </c>
      <c r="D7798" s="2" t="str">
        <f t="shared" si="127"/>
        <v>Error?</v>
      </c>
      <c r="E7798" s="4" t="s">
        <v>1903</v>
      </c>
    </row>
    <row r="7799" spans="1:5" x14ac:dyDescent="0.2">
      <c r="A7799">
        <v>7738</v>
      </c>
      <c r="B7799" s="138">
        <f>'Contracts Paid in CY 29'!G141</f>
        <v>14353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F31" sqref="F3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1987</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Warrensburg-Latham CUSD 11</v>
      </c>
      <c r="B7" s="2404"/>
      <c r="C7" s="2404"/>
      <c r="D7" s="2405"/>
      <c r="E7" s="2406">
        <f>COVER!A13</f>
        <v>39055011026</v>
      </c>
      <c r="F7" s="2407"/>
      <c r="G7" s="2413">
        <f>COVER!T23</f>
        <v>66.004384999999999</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FLOYD &amp; ASSOCIATES, CPAs</v>
      </c>
      <c r="H9" s="2419"/>
      <c r="I9" s="2419"/>
      <c r="J9" s="2419"/>
      <c r="K9" s="2419"/>
      <c r="L9" s="2420"/>
    </row>
    <row r="10" spans="1:29" ht="13.5" customHeight="1" x14ac:dyDescent="0.2">
      <c r="A10" s="2393" t="str">
        <f>COVER!A38</f>
        <v>Dr. KRISTEN KENDRICK-WEIKLE</v>
      </c>
      <c r="B10" s="2394"/>
      <c r="C10" s="2394"/>
      <c r="D10" s="2394"/>
      <c r="E10" s="2394"/>
      <c r="F10" s="2395"/>
      <c r="G10" s="2387" t="str">
        <f>COVER!T17</f>
        <v>910 STATE HIGHWAY 54 EAST</v>
      </c>
      <c r="H10" s="2388"/>
      <c r="I10" s="2388"/>
      <c r="J10" s="2388"/>
      <c r="K10" s="2388"/>
      <c r="L10" s="2389"/>
    </row>
    <row r="11" spans="1:29" ht="13.5" customHeight="1" x14ac:dyDescent="0.2">
      <c r="A11" s="1184" t="s">
        <v>1519</v>
      </c>
      <c r="B11" s="1185"/>
      <c r="C11" s="1186"/>
      <c r="D11" s="1191"/>
      <c r="E11" s="1186"/>
      <c r="F11" s="1190"/>
      <c r="G11" s="2387" t="str">
        <f>COVER!T19</f>
        <v>CLINTON</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f>COVER!T25</f>
        <v>0</v>
      </c>
      <c r="J13" s="2400"/>
      <c r="K13" s="2400"/>
      <c r="L13" s="2401"/>
    </row>
    <row r="14" spans="1:29" ht="13.5" customHeight="1" x14ac:dyDescent="0.2">
      <c r="A14" s="2387" t="str">
        <f>COVER!A19</f>
        <v>430 WEST NORTH STREET</v>
      </c>
      <c r="B14" s="2388"/>
      <c r="C14" s="2388"/>
      <c r="D14" s="2388"/>
      <c r="E14" s="2388"/>
      <c r="F14" s="2389"/>
      <c r="G14" s="1195" t="s">
        <v>1185</v>
      </c>
      <c r="H14" s="1193"/>
      <c r="I14" s="1193"/>
      <c r="J14" s="1193"/>
      <c r="K14" s="1193"/>
      <c r="L14" s="1194"/>
    </row>
    <row r="15" spans="1:29" ht="13.5" customHeight="1" x14ac:dyDescent="0.2">
      <c r="A15" s="2387" t="str">
        <f>COVER!A21</f>
        <v xml:space="preserve">WARRENSBURG </v>
      </c>
      <c r="B15" s="2388"/>
      <c r="C15" s="2388"/>
      <c r="D15" s="2388"/>
      <c r="E15" s="2388"/>
      <c r="F15" s="2389"/>
      <c r="G15" s="2384" t="str">
        <f>COVER!T15</f>
        <v>JULIE M. FLOYD, CPA</v>
      </c>
      <c r="H15" s="2385"/>
      <c r="I15" s="2385"/>
      <c r="J15" s="2385"/>
      <c r="K15" s="2385"/>
      <c r="L15" s="2386"/>
    </row>
    <row r="16" spans="1:29" ht="12.2" customHeight="1" x14ac:dyDescent="0.2">
      <c r="A16" s="2409">
        <f>COVER!A25</f>
        <v>62573</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217-935-8871</v>
      </c>
      <c r="H18" s="2404"/>
      <c r="I18" s="2404"/>
      <c r="J18" s="2404"/>
      <c r="K18" s="2403" t="str">
        <f>COVER!X21</f>
        <v>217-935-5711</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F31" sqref="F3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Warrensburg-Latham CUSD 11</v>
      </c>
      <c r="B1" s="2402"/>
      <c r="C1" s="2402"/>
      <c r="D1" s="2402"/>
    </row>
    <row r="2" spans="1:11" s="1212" customFormat="1" ht="12.75" x14ac:dyDescent="0.2">
      <c r="A2" s="2426">
        <f>'Single Audit Cover'!E7</f>
        <v>39055011026</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1" sqref="F3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Warrensburg-Latham CUSD 11</v>
      </c>
      <c r="B1" s="2429"/>
      <c r="C1" s="2429"/>
      <c r="D1" s="2429"/>
      <c r="E1" s="2429"/>
    </row>
    <row r="2" spans="1:5" x14ac:dyDescent="0.2">
      <c r="A2" s="2430">
        <f>'Single Audit Cover'!E7</f>
        <v>39055011026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530894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27326</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558220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558220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558220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F31" sqref="F3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Warrensburg-Latham CUSD 11</v>
      </c>
      <c r="C1" s="2433"/>
      <c r="D1" s="2433"/>
      <c r="E1" s="2433"/>
      <c r="F1" s="2433"/>
      <c r="G1" s="2433"/>
      <c r="H1" s="2433"/>
      <c r="I1" s="2433"/>
      <c r="J1" s="2433"/>
      <c r="K1" s="2433"/>
      <c r="L1" s="2433"/>
      <c r="M1" s="2433"/>
    </row>
    <row r="2" spans="2:14" ht="15" x14ac:dyDescent="0.2">
      <c r="B2" s="2434">
        <f>'Single Audit Cover'!E7</f>
        <v>39055011026</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F31" sqref="F3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Warrensburg-Latham CUSD 11</v>
      </c>
      <c r="B1" s="2446"/>
      <c r="C1" s="2446"/>
      <c r="D1" s="2446"/>
      <c r="E1" s="2446"/>
      <c r="F1" s="2446"/>
    </row>
    <row r="2" spans="1:7" ht="13.5" customHeight="1" x14ac:dyDescent="0.2">
      <c r="A2" s="2434">
        <f>'Single Audit Cover'!E7</f>
        <v>39055011026</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0">
        <f>+C33+C34</f>
        <v>0</v>
      </c>
      <c r="F34" s="244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5"/>
      <c r="C50" s="1845"/>
      <c r="D50" s="1845"/>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F31" sqref="F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Warrensburg-Latham CUSD 11</v>
      </c>
      <c r="C1" s="2461"/>
      <c r="D1" s="2461"/>
      <c r="E1" s="2461"/>
      <c r="F1" s="2461"/>
      <c r="G1" s="2461"/>
      <c r="H1" s="2461"/>
      <c r="I1" s="2461"/>
      <c r="J1" s="1406"/>
    </row>
    <row r="2" spans="2:10" s="317" customFormat="1" ht="12.75" customHeight="1" x14ac:dyDescent="0.2">
      <c r="B2" s="2462">
        <f>'Single Audit Cover'!E7</f>
        <v>39055011026</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2062</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F31" sqref="F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Warrensburg-Latham CUSD 11</v>
      </c>
      <c r="C1" s="2460"/>
      <c r="D1" s="2460"/>
      <c r="E1" s="2460"/>
      <c r="F1" s="2460"/>
      <c r="G1" s="2460"/>
      <c r="H1" s="2460"/>
      <c r="I1" s="2460"/>
      <c r="J1" s="2460"/>
      <c r="K1" s="2460"/>
      <c r="L1" s="1371"/>
      <c r="M1" s="1371"/>
    </row>
    <row r="2" spans="1:13" ht="12" customHeight="1" x14ac:dyDescent="0.2">
      <c r="B2" s="2462">
        <f>'Single Audit Cover'!E7</f>
        <v>39055011026</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F31" sqref="F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Warrensburg-Latham CUSD 11</v>
      </c>
      <c r="C1" s="2483"/>
      <c r="D1" s="2483"/>
      <c r="E1" s="2483"/>
      <c r="F1" s="2483"/>
      <c r="G1" s="2483"/>
      <c r="H1" s="2483"/>
      <c r="I1" s="2483"/>
      <c r="J1" s="2483"/>
      <c r="K1" s="2483"/>
      <c r="L1" s="1449"/>
    </row>
    <row r="2" spans="1:12" ht="12.75" customHeight="1" x14ac:dyDescent="0.2">
      <c r="B2" s="2484">
        <f>'Single Audit Cover'!E7</f>
        <v>39055011026</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F31" sqref="F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Warrensburg-Latham CUSD 11</v>
      </c>
      <c r="C1" s="2460"/>
      <c r="D1" s="2460"/>
      <c r="E1" s="1469"/>
    </row>
    <row r="2" spans="2:5" s="1279" customFormat="1" ht="12.75" customHeight="1" x14ac:dyDescent="0.2">
      <c r="B2" s="2462">
        <f>'Single Audit Cover'!E7</f>
        <v>39055011026</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openxmlformats.org/package/2006/metadata/core-properties"/>
    <ds:schemaRef ds:uri="4d435f69-8686-490b-bd6d-b153bf22ab50"/>
    <ds:schemaRef ds:uri="http://schemas.microsoft.com/office/2006/documentManagement/types"/>
    <ds:schemaRef ds:uri="http://schemas.microsoft.com/sharepoint/v3"/>
    <ds:schemaRef ds:uri="http://www.w3.org/XML/1998/namespace"/>
    <ds:schemaRef ds:uri="http://purl.org/dc/dcmitype/"/>
    <ds:schemaRef ds:uri="http://purl.org/dc/elements/1.1/"/>
    <ds:schemaRef ds:uri="http://schemas.microsoft.com/office/infopath/2007/PartnerControls"/>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2019-09-04T19:36:18Z</cp:lastPrinted>
  <dcterms:created xsi:type="dcterms:W3CDTF">2003-10-29T19:06:34Z</dcterms:created>
  <dcterms:modified xsi:type="dcterms:W3CDTF">2019-11-15T16:46:35Z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