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FFB0ABF-71E7-4ACA-AC58-C7A7777E471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5" i="127"/>
  <c r="B66"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L5" i="11"/>
  <c r="B2056" i="106" s="1"/>
  <c r="D2056" i="106" s="1"/>
  <c r="B5752" i="106"/>
  <c r="D5752" i="106" s="1"/>
  <c r="D24" i="37" l="1"/>
  <c r="B4270" i="106" s="1"/>
  <c r="D4270" i="106" s="1"/>
  <c r="F34" i="34"/>
  <c r="J352" i="29"/>
  <c r="J367" i="29" s="1"/>
  <c r="B7245" i="106" s="1"/>
  <c r="D7245" i="106" s="1"/>
  <c r="J41" i="3"/>
  <c r="D6103" i="106"/>
  <c r="B3647" i="106"/>
  <c r="D3647" i="106" s="1"/>
  <c r="K76" i="4"/>
  <c r="B3586" i="106" s="1"/>
  <c r="D3586" i="106" s="1"/>
  <c r="D68" i="36"/>
  <c r="F19" i="7"/>
  <c r="B1807" i="106" s="1"/>
  <c r="D1807" i="106" s="1"/>
  <c r="L13" i="11"/>
  <c r="B2060" i="106" s="1"/>
  <c r="D2060" i="106" s="1"/>
  <c r="E29" i="108"/>
  <c r="K184" i="29"/>
  <c r="F13" i="4" s="1"/>
  <c r="B2596" i="106" s="1"/>
  <c r="D2596" i="106" s="1"/>
  <c r="G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D7254" i="106"/>
  <c r="D7250" i="106"/>
  <c r="C114" i="29"/>
  <c r="B757" i="106" s="1"/>
  <c r="D757" i="106" s="1"/>
  <c r="L16" i="11"/>
  <c r="B2061" i="106" s="1"/>
  <c r="D2061" i="106" s="1"/>
  <c r="B5527" i="106"/>
  <c r="D5527" i="106" s="1"/>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<sst xmlns="http://schemas.openxmlformats.org/spreadsheetml/2006/main" count="5097" uniqueCount="2116">
  <si>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</si>
  <si>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</si>
  <si>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</si>
  <si>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</si>
  <si>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</si>
  <si>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</si>
  <si>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</si>
  <si>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</si>
  <si>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</si>
  <si>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</si>
  <si>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</si>
  <si>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</si>
  <si>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</si>
  <si>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</si>
  <si>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</si>
  <si>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</si>
  <si>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</si>
  <si>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</si>
  <si>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</si>
  <si>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</si>
  <si>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</si>
  <si>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</si>
  <si>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</si>
  <si>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</si>
  <si>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</si>
  <si>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</si>
  <si>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</si>
  <si>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</si>
  <si>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</si>
  <si>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</si>
  <si>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</si>
  <si>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</si>
  <si>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</si>
  <si>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</si>
  <si>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</si>
  <si>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</si>
  <si>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</si>
  <si>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</si>
  <si>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</si>
  <si>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</si>
  <si>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</si>
  <si>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</si>
  <si>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</si>
  <si>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</si>
  <si>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</si>
  <si>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</si>
  <si>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</si>
  <si>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</si>
  <si>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</si>
  <si>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</si>
  <si>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</si>
  <si>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</si>
  <si>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</si>
  <si>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</si>
  <si>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</si>
  <si>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</si>
  <si>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</si>
  <si>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</si>
  <si>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</si>
  <si>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</si>
  <si>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</si>
  <si>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</si>
  <si>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</si>
  <si>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</si>
  <si>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</si>
  <si>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</si>
  <si>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</si>
  <si>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</si>
  <si>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</si>
  <si>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</si>
  <si>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</si>
  <si>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</si>
  <si>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</si>
  <si>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</si>
  <si>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</si>
  <si>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</si>
  <si>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</si>
  <si>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</si>
  <si>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</si>
  <si>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</si>
  <si>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</si>
  <si>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</si>
  <si>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</si>
  <si>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</si>
  <si>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</si>
  <si>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</si>
  <si>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</si>
  <si>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</si>
  <si>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</si>
  <si>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</si>
  <si>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</si>
  <si>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</si>
  <si>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</si>
  <si>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</si>
  <si>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</si>
  <si>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</si>
  <si>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</si>
  <si>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</si>
  <si>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</si>
  <si>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</si>
  <si>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</si>
  <si>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</si>
  <si>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</si>
  <si>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</si>
  <si>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</si>
  <si>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</si>
  <si>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</si>
  <si>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</si>
  <si>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</si>
  <si>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</si>
  <si>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</si>
  <si>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</si>
  <si>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</si>
  <si>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</si>
  <si>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</si>
  <si>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</si>
  <si>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</si>
  <si>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</si>
  <si>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</si>
  <si>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</si>
  <si>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</si>
  <si>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</si>
  <si>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</si>
  <si>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</si>
  <si>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</si>
  <si>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</si>
  <si>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</si>
  <si>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</si>
  <si>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</si>
  <si>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</si>
  <si>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</si>
  <si>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</si>
  <si>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</si>
  <si>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</si>
  <si>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</si>
  <si>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</si>
  <si>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</si>
  <si>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</si>
  <si>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</si>
  <si>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</si>
  <si>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</si>
  <si>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</si>
  <si>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</si>
  <si>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</si>
  <si>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</si>
  <si>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</si>
  <si>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</si>
  <si>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</si>
  <si>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</si>
  <si>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</si>
  <si>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</si>
  <si>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</si>
  <si>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</si>
  <si>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</si>
  <si>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</si>
  <si>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</si>
  <si>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</si>
  <si>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</si>
  <si>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</si>
  <si>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</si>
  <si>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</si>
  <si>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</si>
  <si>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</si>
  <si>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</si>
  <si>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</si>
  <si>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</si>
  <si>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</si>
  <si>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</si>
  <si>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</si>
  <si>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</si>
  <si>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</si>
  <si>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</si>
  <si>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</si>
  <si>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</si>
  <si>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</si>
  <si>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</si>
  <si>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</si>
  <si>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</si>
  <si>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</si>
  <si>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</si>
  <si>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</si>
  <si>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</si>
  <si>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</si>
  <si>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</si>
  <si>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</si>
  <si>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</si>
  <si>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</si>
  <si>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</si>
  <si>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</si>
  <si>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</si>
  <si>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</si>
  <si>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</si>
  <si>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</si>
  <si>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</si>
  <si>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</si>
  <si>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</si>
  <si>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</si>
  <si>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</si>
  <si>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</si>
  <si>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</si>
  <si>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</si>
  <si>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</si>
  <si>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</si>
  <si>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</si>
  <si>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</si>
  <si>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</si>
  <si>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</si>
  <si>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</si>
  <si>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</si>
  <si>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</si>
  <si>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</si>
  <si>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</si>
  <si>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</si>
  <si>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</si>
  <si>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</si>
  <si>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</si>
  <si>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</si>
  <si>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</si>
  <si>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</si>
  <si>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</si>
  <si>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</si>
  <si>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</si>
  <si>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</si>
  <si>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</si>
  <si>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</si>
  <si>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</si>
  <si>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</si>
  <si>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</si>
  <si>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</si>
  <si>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</si>
  <si>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</si>
  <si>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</si>
  <si>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</si>
  <si>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</si>
  <si>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</si>
  <si>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</si>
  <si>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</si>
  <si>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</si>
  <si>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</si>
  <si>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</si>
  <si>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</si>
  <si>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</si>
  <si>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</si>
  <si>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</si>
  <si>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</si>
  <si>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</si>
  <si>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</si>
  <si>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</si>
  <si>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</si>
  <si>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</si>
  <si>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</si>
  <si>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</si>
  <si>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</si>
  <si>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</si>
  <si>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</si>
  <si>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</si>
  <si>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</si>
  <si>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</si>
  <si>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</si>
  <si>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</si>
  <si>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</si>
  <si>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</si>
  <si>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</si>
  <si>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</si>
  <si>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</si>
  <si>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</si>
  <si>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</si>
  <si>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</si>
  <si>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</si>
  <si>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</si>
  <si>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</si>
  <si>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</si>
  <si>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</si>
  <si>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</si>
  <si>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</si>
  <si>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</si>
  <si>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</si>
  <si>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</si>
  <si>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</si>
  <si>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</si>
  <si>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</si>
  <si>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</si>
  <si>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</si>
  <si>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</si>
  <si>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</si>
  <si>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</si>
  <si>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</si>
  <si>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</si>
  <si>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</si>
  <si>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</si>
  <si>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</si>
  <si>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</si>
  <si>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</si>
  <si>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</si>
  <si>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</si>
  <si>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</si>
  <si>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</si>
  <si>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</si>
  <si>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</si>
  <si>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</si>
  <si>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</si>
  <si>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</si>
  <si>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</si>
  <si>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</si>
  <si>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</si>
  <si>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</si>
  <si>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</si>
  <si>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</si>
  <si>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</si>
  <si>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</si>
  <si>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</si>
  <si>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</si>
  <si>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</si>
  <si>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</si>
  <si>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</si>
  <si>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</si>
  <si>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</si>
  <si>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</si>
  <si>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</si>
  <si>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</si>
  <si>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</si>
  <si>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</si>
  <si>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</si>
  <si>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</si>
  <si>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</si>
  <si>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</si>
  <si>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</si>
  <si>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</si>
  <si>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</si>
  <si>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</si>
  <si>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</si>
  <si>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</si>
  <si>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</si>
  <si>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</si>
  <si>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</si>
  <si>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</si>
  <si>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</si>
  <si>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</si>
  <si>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</si>
  <si>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</si>
  <si>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</si>
  <si>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</si>
  <si>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</si>
  <si>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</si>
  <si>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</si>
  <si>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</si>
  <si>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</si>
  <si>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</si>
  <si>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</si>
  <si>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</si>
  <si>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</si>
  <si>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</si>
  <si>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</si>
  <si>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</si>
  <si>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</si>
  <si>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</si>
  <si>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</si>
  <si>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</si>
  <si>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</si>
  <si>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</si>
  <si>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</si>
  <si>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</si>
  <si>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</si>
  <si>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</si>
  <si>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</si>
  <si>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</si>
  <si>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</si>
  <si>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</si>
  <si>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</si>
  <si>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</si>
  <si>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</si>
  <si>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</si>
  <si>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</si>
  <si>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</si>
  <si>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</si>
  <si>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</si>
  <si>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</si>
  <si>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</si>
  <si>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</si>
  <si>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</si>
  <si>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</si>
  <si>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</si>
  <si>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</si>
  <si>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</si>
  <si>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</si>
  <si>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</si>
  <si>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</si>
  <si>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</si>
  <si>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</si>
  <si>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</si>
  <si>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</si>
  <si>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</si>
  <si>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</si>
  <si>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</si>
  <si>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</si>
  <si>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</si>
  <si>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</si>
  <si>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</si>
  <si>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</si>
  <si>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</si>
  <si>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</si>
  <si>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</si>
  <si>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</si>
  <si>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</si>
  <si>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</si>
  <si>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</si>
  <si>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</si>
  <si>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</si>
  <si>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</si>
  <si>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</si>
  <si>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</si>
  <si>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</si>
  <si>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</si>
  <si>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</si>
  <si>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</si>
  <si>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</si>
  <si>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</si>
  <si>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</si>
  <si>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</si>
  <si>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</si>
  <si>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</si>
  <si>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</si>
  <si>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</si>
  <si>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</si>
  <si>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</si>
  <si>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</si>
  <si>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</si>
  <si>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</si>
  <si>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</si>
  <si>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</si>
  <si>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</si>
  <si>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</si>
  <si>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</si>
  <si>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</si>
  <si>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</si>
  <si>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</si>
  <si>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</si>
  <si>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</si>
  <si>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</si>
  <si>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</si>
  <si>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</si>
  <si>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</si>
  <si>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</si>
  <si>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</si>
  <si>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</si>
  <si>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</si>
  <si>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</si>
  <si>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</si>
  <si>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</si>
  <si>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</si>
  <si>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</si>
  <si>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</si>
  <si>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</si>
  <si>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</si>
  <si>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</si>
  <si>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</si>
  <si>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</si>
  <si>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</si>
  <si>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</si>
  <si>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</si>
  <si>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</si>
  <si>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</si>
  <si>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</si>
  <si>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</si>
  <si>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</si>
  <si>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</si>
  <si>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</si>
  <si>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</si>
  <si>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</si>
  <si>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</si>
  <si>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</si>
  <si>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</si>
  <si>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</si>
  <si>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</si>
  <si>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</si>
  <si>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</si>
  <si>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</si>
  <si>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</si>
  <si>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</si>
  <si>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</si>
  <si>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</si>
  <si>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</si>
  <si>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</si>
  <si>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</si>
  <si>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</si>
  <si>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</si>
  <si>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</si>
  <si>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</si>
  <si>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</si>
  <si>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</si>
  <si>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</si>
  <si>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</si>
  <si>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</si>
  <si>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</si>
  <si>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</si>
  <si>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</si>
  <si>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</si>
  <si>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</si>
  <si>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</si>
  <si>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</si>
  <si>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</si>
  <si>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</si>
  <si>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</si>
  <si>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</si>
  <si>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</si>
  <si>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</si>
  <si>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</si>
  <si>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</si>
  <si>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</si>
  <si>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</si>
  <si>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</si>
  <si>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</si>
  <si>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</si>
  <si>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</si>
  <si>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</si>
  <si>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</si>
  <si>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</si>
  <si>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</si>
  <si>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</si>
  <si>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</si>
  <si>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</si>
  <si>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</si>
  <si>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</si>
  <si>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</si>
  <si>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</si>
  <si>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</si>
  <si>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</si>
  <si>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</si>
  <si>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</si>
  <si>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</si>
  <si>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</si>
  <si>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</si>
  <si>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</si>
  <si>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</si>
  <si>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</si>
  <si>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</si>
  <si>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</si>
  <si>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</si>
  <si>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</si>
  <si>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</si>
  <si>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</si>
  <si>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</si>
  <si>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</si>
  <si>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</si>
  <si>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</si>
  <si>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</si>
  <si>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</si>
  <si>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</si>
  <si>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</si>
  <si>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</si>
  <si>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</si>
  <si>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</si>
  <si>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</si>
  <si>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</si>
  <si>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</si>
  <si>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</si>
  <si>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</si>
  <si>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</si>
  <si>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</si>
  <si>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</si>
  <si>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</si>
  <si>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</si>
  <si>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</si>
  <si>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</si>
  <si>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</si>
  <si>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</si>
  <si>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</si>
  <si>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</si>
  <si>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</si>
  <si>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</si>
  <si>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</si>
  <si>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</si>
  <si>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</si>
  <si>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</si>
  <si>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</si>
  <si>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</si>
  <si>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</si>
  <si>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</si>
  <si>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</si>
  <si>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</si>
  <si>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</si>
  <si>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</si>
  <si>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</si>
  <si>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</si>
  <si>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</si>
  <si>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</si>
  <si>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</si>
  <si>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</si>
  <si>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</si>
  <si>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</si>
  <si>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</si>
  <si>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</si>
  <si>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</si>
  <si>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</si>
  <si>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</si>
  <si>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</si>
  <si>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</si>
  <si>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</si>
  <si>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</si>
  <si>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</si>
  <si>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</si>
  <si>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</si>
  <si>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</si>
  <si>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</si>
  <si>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</si>
  <si>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</si>
  <si>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</si>
  <si>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</si>
  <si>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</si>
  <si>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</si>
  <si>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</si>
  <si>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</si>
  <si>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</si>
  <si>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</si>
  <si>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</si>
  <si>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</si>
  <si>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</si>
  <si>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</si>
  <si>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</si>
  <si>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</si>
  <si>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</si>
  <si>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</si>
  <si>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</si>
  <si>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</si>
  <si>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</si>
  <si>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</si>
  <si>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</si>
  <si>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</si>
  <si>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</si>
  <si>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</si>
  <si>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</si>
  <si>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</si>
  <si>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</si>
  <si>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</si>
  <si>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</si>
  <si>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</si>
  <si>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</si>
  <si>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</si>
  <si>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</si>
  <si>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</si>
  <si>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</si>
  <si>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</si>
  <si>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</si>
  <si>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</si>
  <si>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</si>
  <si>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</si>
  <si>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</si>
  <si>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</si>
  <si>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</si>
  <si>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</si>
  <si>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</si>
  <si>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</si>
  <si>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</si>
  <si>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</si>
  <si>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</si>
  <si>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</si>
  <si>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</si>
  <si>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</si>
  <si>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</si>
  <si>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</si>
  <si>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</si>
  <si>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</si>
  <si>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</si>
  <si>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</si>
  <si>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</si>
  <si>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</si>
  <si>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</si>
  <si>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</si>
  <si>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</si>
  <si>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</si>
  <si>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</si>
  <si>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</si>
  <si>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</si>
  <si>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</si>
  <si>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</si>
  <si>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</si>
  <si>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</si>
  <si>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</si>
  <si>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</si>
  <si>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</si>
  <si>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</si>
  <si>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</si>
  <si>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</si>
  <si>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</si>
  <si>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</si>
  <si>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</si>
  <si>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</si>
  <si>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</si>
  <si>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</si>
  <si>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</si>
  <si>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</si>
  <si>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</si>
  <si>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</si>
  <si>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</si>
  <si>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</si>
  <si>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</si>
  <si>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</si>
  <si>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</si>
  <si>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</si>
  <si>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</si>
  <si>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</si>
  <si>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</si>
  <si>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</si>
  <si>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</si>
  <si>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</si>
  <si>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</si>
  <si>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</si>
  <si>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</si>
  <si>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</si>
  <si>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</si>
  <si>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</si>
  <si>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</si>
  <si>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</si>
  <si>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</si>
  <si>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</si>
  <si>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</si>
  <si>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</si>
  <si>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</si>
  <si>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</si>
  <si>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</si>
  <si>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</si>
  <si>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</si>
  <si>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</si>
  <si>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</si>
  <si>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</si>
  <si>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</si>
  <si>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</si>
  <si>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</si>
  <si>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</si>
  <si>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</si>
  <si>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</si>
  <si>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</si>
  <si>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</si>
  <si>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</si>
  <si>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</si>
  <si>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</si>
  <si>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</si>
  <si>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</si>
  <si>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</si>
  <si>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</si>
  <si>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</si>
  <si>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</si>
  <si>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</si>
  <si>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</si>
  <si>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</si>
  <si>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</si>
  <si>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</si>
  <si>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</si>
  <si>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</si>
  <si>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</si>
  <si>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</si>
  <si>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</si>
  <si>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</si>
  <si>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</si>
  <si>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</si>
  <si>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</si>
  <si>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</si>
  <si>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</si>
  <si>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</si>
  <si>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</si>
  <si>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</si>
  <si>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</si>
  <si>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</si>
  <si>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</si>
  <si>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</si>
  <si>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</si>
  <si>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</si>
  <si>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</si>
  <si>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</si>
  <si>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</si>
  <si>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</si>
  <si>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</si>
  <si>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</si>
  <si>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</si>
  <si>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</si>
  <si>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</si>
  <si>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</si>
  <si>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</si>
  <si>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</si>
  <si>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</si>
  <si>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</si>
  <si>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</si>
  <si>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</si>
  <si>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</si>
  <si>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</si>
  <si>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</si>
  <si>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</si>
  <si>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</si>
  <si>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</si>
  <si>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</si>
  <si>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</si>
  <si>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</si>
  <si>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</si>
  <si>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</si>
  <si>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</si>
  <si>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</si>
  <si>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</si>
  <si>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</si>
  <si>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</si>
  <si>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</si>
  <si>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</si>
  <si>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</si>
  <si>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</si>
  <si>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</si>
  <si>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</si>
  <si>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</si>
  <si>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</si>
  <si>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</si>
  <si>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</si>
  <si>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</si>
  <si>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</si>
  <si>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</si>
  <si>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</si>
  <si>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</si>
  <si>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</si>
  <si>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</si>
  <si>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</si>
  <si>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</si>
  <si>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</si>
  <si>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</si>
  <si>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</si>
  <si>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</si>
  <si>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</si>
  <si>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</si>
  <si>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</si>
  <si>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</si>
  <si>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</si>
  <si>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</si>
  <si>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</si>
  <si>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</si>
  <si>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</si>
  <si>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</si>
  <si>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</si>
  <si>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</si>
  <si>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</si>
  <si>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</si>
  <si>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</si>
  <si>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</si>
  <si>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</si>
  <si>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</si>
  <si>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</si>
  <si>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</si>
  <si>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</si>
  <si>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</si>
  <si>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</si>
  <si>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</si>
  <si>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</si>
  <si>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</si>
  <si>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</si>
  <si>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</si>
  <si>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</si>
  <si>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</si>
  <si>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</si>
  <si>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</si>
  <si>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</si>
  <si>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</si>
  <si>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</si>
  <si>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</si>
  <si>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</si>
  <si>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</si>
  <si>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</si>
  <si>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</si>
  <si>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</si>
  <si>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</si>
  <si>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</si>
  <si>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</si>
  <si>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</si>
  <si>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</si>
  <si>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</si>
  <si>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</si>
  <si>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</si>
  <si>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</si>
  <si>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</si>
  <si>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</si>
  <si>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</si>
  <si>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</si>
  <si>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</si>
  <si>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</si>
  <si>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</si>
  <si>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</si>
  <si>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</si>
  <si>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</si>
  <si>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</si>
  <si>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</si>
  <si>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</si>
  <si>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</si>
  <si>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</si>
  <si>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</si>
  <si>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</si>
  <si>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</si>
  <si>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</si>
  <si>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</si>
  <si>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</si>
  <si>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</si>
  <si>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</si>
  <si>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</si>
  <si>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</si>
  <si>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</si>
  <si>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</si>
  <si>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</si>
  <si>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</si>
  <si>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</si>
  <si>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</si>
  <si>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</si>
  <si>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</si>
  <si>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</si>
  <si>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</si>
  <si>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</si>
  <si>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</si>
  <si>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</si>
  <si>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</si>
  <si>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</si>
  <si>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</si>
  <si>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</si>
  <si>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</si>
  <si>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</si>
  <si>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</si>
  <si>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</si>
  <si>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</si>
  <si>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</si>
  <si>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</si>
  <si>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</si>
  <si>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</si>
  <si>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</si>
  <si>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</si>
  <si>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</si>
  <si>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</si>
  <si>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</si>
  <si>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</si>
  <si>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</si>
  <si>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</si>
  <si>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</si>
  <si>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</si>
  <si>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</si>
  <si>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</si>
  <si>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</si>
  <si>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</si>
  <si>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</si>
  <si>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</si>
  <si>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</si>
  <si>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</si>
  <si>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</si>
  <si>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</si>
  <si>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</si>
  <si>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</si>
  <si>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</si>
  <si>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</si>
  <si>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</si>
  <si>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</si>
  <si>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</si>
  <si>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</si>
  <si>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</si>
  <si>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</si>
  <si>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</si>
  <si>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</si>
  <si>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</si>
  <si>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</si>
  <si>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</si>
  <si>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</si>
  <si>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</si>
  <si>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</si>
  <si>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</si>
  <si>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</si>
  <si>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</si>
  <si>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</si>
  <si>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</si>
  <si>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</si>
  <si>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</si>
  <si>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</si>
  <si>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</si>
  <si>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</si>
  <si>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</si>
  <si>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</si>
  <si>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</si>
  <si>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</si>
  <si>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</si>
  <si>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</si>
  <si>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</si>
  <si>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</si>
  <si>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</si>
  <si>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</si>
  <si>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</si>
  <si>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</si>
  <si>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</si>
  <si>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</si>
  <si>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</si>
  <si>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</si>
  <si>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</si>
  <si>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</si>
  <si>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</si>
  <si>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</si>
  <si>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</si>
  <si>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</si>
  <si>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</si>
  <si>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</si>
  <si>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</si>
  <si>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</si>
  <si>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</si>
  <si>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</si>
  <si>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</si>
  <si>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</si>
  <si>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</si>
  <si>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</si>
  <si>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</si>
  <si>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</si>
  <si>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</si>
  <si>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</si>
  <si>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</si>
  <si>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</si>
  <si>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</si>
  <si>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</si>
  <si>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</si>
  <si>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</si>
  <si>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</si>
  <si>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</si>
  <si>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</si>
  <si>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</si>
  <si>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</si>
  <si>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</si>
  <si>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</si>
  <si>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</si>
  <si>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</si>
  <si>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</si>
  <si>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</si>
  <si>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</si>
  <si>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</si>
  <si>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</si>
  <si>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</si>
  <si>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</si>
  <si>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</si>
  <si>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</si>
  <si>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</si>
  <si>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</si>
  <si>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</si>
  <si>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</si>
  <si>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</si>
  <si>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</si>
  <si>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</si>
  <si>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</si>
  <si>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</si>
  <si>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</si>
  <si>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</si>
  <si>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</si>
  <si>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</si>
  <si>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</si>
  <si>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</si>
  <si>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</si>
  <si>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</si>
  <si>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</si>
  <si>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</si>
  <si>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</si>
  <si>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</si>
  <si>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</si>
  <si>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</si>
  <si>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</si>
  <si>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</si>
  <si>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</si>
  <si>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</si>
  <si>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</si>
  <si>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</si>
  <si>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</si>
  <si>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</si>
  <si>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</si>
  <si>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</si>
  <si>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</si>
  <si>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</si>
  <si>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</si>
  <si>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</si>
  <si>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</si>
  <si>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</si>
  <si>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</si>
  <si>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</si>
  <si>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</si>
  <si>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</si>
  <si>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</si>
  <si>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</si>
  <si>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</si>
  <si>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</si>
  <si>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</si>
  <si>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</si>
  <si>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</si>
  <si>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</si>
  <si>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</si>
  <si>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</si>
  <si>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</si>
  <si>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</si>
  <si>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</si>
  <si>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</si>
  <si>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</si>
  <si>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</si>
  <si>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</si>
  <si>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</si>
  <si>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</si>
  <si>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</si>
  <si>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</si>
  <si>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</si>
  <si>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</si>
  <si>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</si>
  <si>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</si>
  <si>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</si>
  <si>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</si>
  <si>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</si>
  <si>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</si>
  <si>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</si>
  <si>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</si>
  <si>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</si>
  <si>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</si>
  <si>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</si>
  <si>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</si>
  <si>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</si>
  <si>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</si>
  <si>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</si>
  <si>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</si>
  <si>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</si>
  <si>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</si>
  <si>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</si>
  <si>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</si>
  <si>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</si>
  <si>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</si>
  <si>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</si>
  <si>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</si>
  <si>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</si>
  <si>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</si>
  <si>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</si>
  <si>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</si>
  <si>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</si>
  <si>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</si>
  <si>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</si>
  <si>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</si>
  <si>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</si>
  <si>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</si>
  <si>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</si>
  <si>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</si>
  <si>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</si>
  <si>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</si>
  <si>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</si>
  <si>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</si>
  <si>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</si>
  <si>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</si>
  <si>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</si>
  <si>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</si>
  <si>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</si>
  <si>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</si>
  <si>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</si>
  <si>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</si>
  <si>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</si>
  <si>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</si>
  <si>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</si>
  <si>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</si>
  <si>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</si>
  <si>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</si>
  <si>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</si>
  <si>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</si>
  <si>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</si>
  <si>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</si>
  <si>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</si>
  <si>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</si>
  <si>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</si>
  <si>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</si>
  <si>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</si>
  <si>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</si>
  <si>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</si>
  <si>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</si>
  <si>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</si>
  <si>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</si>
  <si>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</si>
  <si>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</si>
  <si>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</si>
  <si>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</si>
  <si>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</si>
  <si>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</si>
  <si>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</si>
  <si>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</si>
  <si>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</si>
  <si>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</si>
  <si>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</si>
  <si>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</si>
  <si>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</si>
  <si>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</si>
  <si>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</si>
  <si>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</si>
  <si>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</si>
  <si>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</si>
  <si>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</si>
  <si>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</si>
  <si>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</si>
  <si>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</si>
  <si>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</si>
  <si>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</si>
  <si>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</si>
  <si>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</si>
  <si>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</si>
  <si>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</si>
  <si>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</si>
  <si>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</si>
  <si>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</si>
  <si>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</si>
  <si>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</si>
  <si>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</si>
  <si>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</si>
  <si>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</si>
  <si>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</si>
  <si>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</si>
  <si>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</si>
  <si>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</si>
  <si>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</si>
  <si>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</si>
  <si>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</si>
  <si>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</si>
  <si>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</si>
  <si>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</si>
  <si>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</si>
  <si>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</si>
  <si>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</si>
  <si>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</si>
  <si>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</si>
  <si>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</si>
  <si>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</si>
  <si>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</si>
  <si>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</si>
  <si>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</si>
  <si>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</si>
  <si>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</si>
  <si>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</si>
  <si>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</si>
  <si>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</si>
  <si>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</si>
  <si>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</si>
  <si>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</si>
  <si>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</si>
  <si>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</si>
  <si>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</si>
  <si>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</si>
  <si>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</si>
  <si>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</si>
  <si>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</si>
  <si>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</si>
  <si>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</si>
  <si>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</si>
  <si>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</si>
  <si>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</si>
  <si>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</si>
  <si>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</si>
  <si>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</si>
  <si>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</si>
  <si>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</si>
  <si>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</si>
  <si>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</si>
  <si>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</si>
  <si>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</si>
  <si>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</si>
  <si>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</si>
  <si>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</si>
  <si>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</si>
  <si>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</si>
  <si>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</si>
  <si>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</si>
  <si>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</si>
  <si>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</si>
  <si>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</si>
  <si>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</si>
  <si>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</si>
  <si>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</si>
  <si>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</si>
  <si>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</si>
  <si>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</si>
  <si>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</si>
  <si>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</si>
  <si>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</si>
  <si>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</si>
  <si>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</si>
  <si>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</si>
  <si>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</si>
  <si>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</si>
  <si>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</si>
  <si>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</si>
  <si>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</si>
  <si>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</si>
  <si>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</si>
  <si>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</si>
  <si>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</si>
  <si>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</si>
  <si>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</si>
  <si>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</si>
  <si>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</si>
  <si>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</si>
  <si>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</si>
  <si>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</si>
  <si>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</si>
  <si>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</si>
  <si>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</si>
  <si>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</si>
  <si>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</si>
  <si>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</si>
  <si>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</si>
  <si>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</si>
  <si>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</si>
  <si>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</si>
  <si>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</si>
  <si>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</si>
  <si>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</si>
  <si>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</si>
  <si>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</si>
  <si>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</si>
  <si>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</si>
  <si>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</si>
  <si>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</si>
  <si>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</si>
  <si>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</si>
  <si>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</si>
  <si>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</si>
  <si>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</si>
  <si>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</si>
  <si>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</si>
  <si>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</si>
  <si>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</si>
  <si>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</si>
  <si>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</si>
  <si>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</si>
  <si>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</si>
  <si>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</si>
  <si>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</si>
  <si>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</si>
  <si>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</si>
  <si>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</si>
  <si>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</si>
  <si>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</si>
  <si>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</si>
  <si>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</si>
  <si>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</si>
  <si>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</si>
  <si>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</si>
  <si>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</si>
  <si>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</si>
  <si>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</si>
  <si>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</si>
  <si>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</si>
  <si>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</si>
  <si>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</si>
  <si>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</si>
  <si>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</si>
  <si>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</si>
  <si>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</si>
  <si>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</si>
  <si>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</si>
  <si>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</si>
  <si>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</si>
  <si>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</si>
  <si>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</si>
  <si>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</si>
  <si>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</si>
  <si>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</si>
  <si>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</si>
  <si>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</si>
  <si>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</si>
  <si>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</si>
  <si>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</si>
  <si>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</si>
  <si>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</si>
  <si>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</si>
  <si>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</si>
  <si>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</si>
  <si>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</si>
  <si>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</si>
  <si>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</si>
  <si>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</si>
  <si>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</si>
  <si>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</si>
  <si>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</si>
  <si>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</si>
  <si>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</si>
  <si>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</si>
  <si>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</si>
  <si>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</si>
  <si>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</si>
  <si>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</si>
  <si>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</si>
  <si>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</si>
  <si>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</si>
  <si>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</si>
  <si>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</si>
  <si>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</si>
  <si>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</si>
  <si>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</si>
  <si>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</si>
  <si>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</si>
  <si>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</si>
  <si>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</si>
  <si>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</si>
  <si>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</si>
  <si>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</si>
  <si>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</si>
  <si>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</si>
  <si>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</si>
  <si>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</si>
  <si>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</si>
  <si>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</si>
  <si>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</si>
  <si>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</si>
  <si>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</si>
  <si>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</si>
  <si>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</si>
  <si>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</si>
  <si>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</si>
  <si>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</si>
  <si>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</si>
  <si>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</si>
  <si>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</si>
  <si>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</si>
  <si>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</si>
  <si>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</si>
  <si>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</si>
  <si>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</si>
  <si>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</si>
  <si>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</si>
  <si>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</si>
  <si>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</si>
  <si>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</si>
  <si>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</si>
  <si>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</si>
  <si>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</si>
  <si>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</si>
  <si>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</si>
  <si>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</si>
  <si>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</si>
  <si>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</si>
  <si>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</si>
  <si>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</si>
  <si>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</si>
  <si>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</si>
  <si>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</si>
  <si>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</si>
  <si>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</si>
  <si>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</si>
  <si>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</si>
  <si>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</si>
  <si>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</si>
  <si>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</si>
  <si>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</si>
  <si>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</si>
  <si>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</si>
  <si>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</si>
  <si>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</si>
  <si>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</si>
  <si>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</si>
  <si>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</si>
  <si>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</si>
  <si>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</si>
  <si>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</si>
  <si>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</si>
  <si>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</si>
  <si>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</si>
  <si>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</si>
  <si>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</si>
  <si>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</si>
  <si>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</si>
  <si>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</si>
  <si>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</si>
  <si>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</si>
  <si>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</si>
  <si>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</si>
  <si>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</si>
  <si>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</si>
  <si>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</si>
  <si>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</si>
  <si>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</si>
  <si>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</si>
  <si>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</si>
  <si>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</si>
  <si>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</si>
  <si>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</si>
  <si>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</si>
  <si>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</si>
  <si>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</si>
  <si>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</si>
  <si>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</si>
  <si>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</si>
  <si>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</si>
  <si>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</si>
  <si>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</si>
  <si>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</si>
  <si>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</si>
  <si>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</si>
  <si>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</si>
  <si>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</si>
  <si>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</si>
  <si>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</si>
  <si>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</si>
  <si>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</si>
  <si>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</si>
  <si>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</si>
  <si>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</si>
  <si>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</si>
  <si>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</si>
  <si>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</si>
  <si>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</si>
  <si>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</si>
  <si>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</si>
  <si>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</si>
  <si>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</si>
  <si>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</si>
  <si>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</si>
  <si>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</si>
  <si>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</si>
  <si>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</si>
  <si>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</si>
  <si>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</si>
  <si>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</si>
  <si>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</si>
  <si>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</si>
  <si>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</si>
  <si>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</si>
  <si>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</si>
  <si>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</si>
  <si>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</si>
  <si>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</si>
  <si>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</si>
  <si>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</si>
  <si>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</si>
  <si>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</si>
  <si>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</si>
  <si>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</si>
  <si>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</si>
  <si>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</si>
  <si>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</si>
  <si>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</si>
  <si>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</si>
  <si>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</si>
  <si>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</si>
  <si>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</si>
  <si>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</si>
  <si>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</si>
  <si>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</si>
  <si>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</si>
  <si>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</si>
  <si>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</si>
  <si>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</si>
  <si>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</si>
  <si>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</si>
  <si>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</si>
  <si>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</si>
  <si>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</si>
  <si>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</si>
  <si>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</si>
  <si>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</si>
  <si>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</si>
  <si>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</si>
  <si>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</si>
  <si>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</si>
  <si>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</si>
  <si>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</si>
  <si>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</si>
  <si>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</si>
  <si>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</si>
  <si>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</si>
  <si>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</si>
  <si>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</si>
  <si>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</si>
  <si>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</si>
  <si>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</si>
  <si>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</si>
  <si>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</si>
  <si>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</si>
  <si>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</si>
  <si>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</si>
  <si>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</si>
  <si>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</si>
  <si>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</si>
  <si>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</si>
  <si>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</si>
  <si>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</si>
  <si>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</si>
  <si>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</si>
  <si>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</si>
  <si>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</si>
  <si>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</si>
  <si>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</si>
  <si>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</si>
  <si>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</si>
  <si>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</si>
  <si>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</si>
  <si>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</si>
  <si>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</si>
  <si>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</si>
  <si>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</si>
  <si>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</si>
  <si>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</si>
  <si>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</si>
  <si>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</si>
  <si>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</si>
  <si>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</si>
  <si>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</si>
  <si>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</si>
  <si>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</si>
  <si>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</si>
  <si>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</si>
  <si>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</si>
  <si>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</si>
  <si>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</si>
  <si>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</si>
  <si>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</si>
  <si>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</si>
  <si>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</si>
  <si>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</si>
  <si>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</si>
  <si>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</si>
  <si>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</si>
  <si>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</si>
  <si>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</si>
  <si>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</si>
  <si>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</si>
  <si>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</si>
  <si>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</si>
  <si>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</si>
  <si>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</si>
  <si>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</si>
  <si>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</si>
  <si>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</si>
  <si>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</si>
  <si>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</si>
  <si>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</si>
  <si>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</si>
  <si>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</si>
  <si>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</si>
  <si>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</si>
  <si>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</si>
  <si>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</si>
  <si>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</si>
  <si>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</si>
  <si>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</si>
  <si>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</si>
  <si>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</si>
  <si>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</si>
  <si>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</si>
  <si>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</si>
  <si>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</si>
  <si>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</si>
  <si>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</si>
  <si>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</si>
  <si>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</si>
  <si>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</si>
  <si>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</si>
  <si>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</si>
  <si>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</si>
  <si>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</si>
  <si>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</si>
  <si>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</si>
  <si>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</si>
  <si>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</si>
  <si>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</si>
  <si>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</si>
  <si>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</si>
  <si>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</si>
  <si>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</si>
  <si>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</si>
  <si>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</si>
  <si>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</si>
  <si>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</si>
  <si>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</si>
  <si>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</si>
  <si>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</si>
  <si>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</si>
  <si>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</si>
  <si>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</si>
  <si>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</si>
  <si>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</si>
  <si>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</si>
  <si>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</si>
  <si>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</si>
  <si>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</si>
  <si>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</si>
  <si>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</si>
  <si>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</si>
  <si>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</si>
  <si>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</si>
  <si>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</si>
  <si>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</si>
  <si>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</si>
  <si>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</si>
  <si>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</si>
  <si>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</si>
  <si>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</si>
  <si>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</si>
  <si>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</si>
  <si>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</si>
  <si>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</si>
  <si>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</si>
  <si>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</si>
  <si>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</si>
  <si>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</si>
  <si>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</si>
  <si>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</si>
  <si>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</si>
  <si>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</si>
  <si>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</si>
  <si>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</si>
  <si>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</si>
  <si>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</si>
  <si>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</si>
  <si>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</si>
  <si>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</si>
  <si>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</si>
  <si>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</si>
  <si>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</si>
  <si>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</si>
  <si>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</si>
  <si>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</si>
  <si>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</si>
  <si>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</si>
  <si>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</si>
  <si>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</si>
  <si>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</si>
  <si>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</si>
  <si>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</si>
  <si>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</si>
  <si>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</si>
  <si>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</si>
  <si>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</si>
  <si>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</si>
  <si>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</si>
  <si>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</si>
  <si>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</si>
  <si>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</si>
  <si>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</si>
  <si>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</si>
  <si>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</si>
  <si>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</si>
  <si>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</si>
  <si>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</si>
  <si>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</si>
  <si>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</si>
  <si>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</si>
  <si>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</si>
  <si>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</si>
  <si>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</si>
  <si>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</si>
  <si>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</si>
  <si>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</si>
  <si>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</si>
  <si>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</si>
  <si>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</si>
  <si>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</si>
  <si>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</si>
  <si>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</si>
  <si>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</si>
  <si>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</si>
  <si>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</si>
  <si>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</si>
  <si>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</si>
  <si>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</si>
  <si>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</si>
  <si>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</si>
  <si>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</si>
  <si>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</si>
  <si>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</si>
  <si>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</si>
  <si>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</si>
  <si>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</si>
  <si>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</si>
  <si>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</si>
  <si>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</si>
  <si>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</si>
  <si>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</si>
  <si>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</si>
  <si>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</si>
  <si>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</si>
  <si>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</si>
  <si>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</si>
  <si>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</si>
  <si>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</si>
  <si>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</si>
  <si>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</si>
  <si>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</si>
  <si>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</si>
  <si>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</si>
  <si>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</si>
  <si>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</si>
  <si>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</si>
  <si>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</si>
  <si>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</si>
  <si>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</si>
  <si>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</si>
  <si>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</si>
  <si>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</si>
  <si>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</si>
  <si>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</si>
  <si>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</si>
  <si>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</si>
  <si>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</si>
  <si>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</si>
  <si>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</si>
  <si>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</si>
  <si>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</si>
  <si>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</si>
  <si>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</si>
  <si>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</si>
  <si>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</si>
  <si>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</si>
  <si>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</si>
  <si>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</si>
  <si>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</si>
  <si>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</si>
  <si>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</si>
  <si>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</si>
  <si>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</si>
  <si>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</si>
  <si>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</si>
  <si>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</si>
  <si>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</si>
  <si>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</si>
  <si>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</si>
  <si>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</si>
  <si>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</si>
  <si>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</si>
  <si>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</si>
  <si>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</si>
  <si>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</si>
  <si>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</si>
  <si>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</si>
  <si>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</si>
  <si>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</si>
  <si>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</si>
  <si>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</si>
  <si>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</si>
  <si>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</si>
  <si>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</si>
  <si>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</si>
  <si>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</si>
  <si>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</si>
  <si>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</si>
  <si>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</si>
  <si>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</si>
  <si>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</si>
  <si>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</si>
  <si>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</si>
  <si>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</si>
  <si>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</si>
  <si>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</si>
  <si>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</si>
  <si>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</si>
  <si>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</si>
  <si>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</si>
  <si>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</si>
  <si>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</si>
  <si>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</si>
  <si>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</si>
  <si>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</si>
  <si>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</si>
  <si>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</si>
  <si>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</si>
  <si>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</si>
  <si>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</si>
  <si>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</si>
  <si>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</si>
  <si>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</si>
  <si>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</si>
  <si>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</si>
  <si>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</si>
  <si>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</si>
  <si>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</si>
  <si>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</si>
  <si>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</si>
  <si>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</si>
  <si>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</si>
  <si>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</si>
  <si>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</si>
  <si>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</si>
  <si>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</si>
  <si>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</si>
  <si>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</si>
  <si>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</si>
  <si>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</si>
  <si>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</si>
  <si>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</si>
  <si>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</si>
  <si>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</si>
  <si>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</si>
  <si>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</si>
  <si>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</si>
  <si>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</si>
  <si>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</si>
  <si>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</si>
  <si>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</si>
  <si>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</si>
  <si>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</si>
  <si>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</si>
  <si>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</si>
  <si>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</si>
  <si>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</si>
  <si>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</si>
  <si>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</si>
  <si>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</si>
  <si>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</si>
  <si>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</si>
  <si>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</si>
  <si>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</si>
  <si>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</si>
  <si>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</si>
  <si>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</si>
  <si>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</si>
  <si>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</si>
  <si>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</si>
  <si>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</si>
  <si>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</si>
  <si>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</si>
  <si>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</si>
  <si>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</si>
  <si>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</si>
  <si>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</si>
  <si>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</si>
  <si>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</si>
  <si>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</si>
  <si>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</si>
  <si>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</si>
  <si>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</si>
  <si>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</si>
  <si>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</si>
  <si>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</si>
  <si>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</si>
  <si>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</si>
  <si>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</si>
  <si>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</si>
  <si>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</si>
  <si>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</si>
  <si>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</si>
  <si>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</si>
  <si>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</si>
  <si>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</si>
  <si>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</si>
  <si>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</si>
  <si>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</si>
  <si>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</si>
  <si>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</si>
  <si>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</si>
  <si>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</si>
  <si>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</si>
  <si>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</si>
  <si>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</si>
  <si>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</si>
  <si>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</si>
  <si>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</si>
  <si>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</si>
  <si>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</si>
  <si>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</si>
  <si>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</si>
  <si>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</si>
  <si>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</si>
  <si>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</si>
  <si>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</si>
  <si>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</si>
  <si>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</si>
  <si>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</si>
  <si>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</si>
  <si>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</si>
  <si>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</si>
  <si>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</si>
  <si>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</si>
  <si>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</si>
  <si>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</si>
  <si>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</si>
  <si>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</si>
  <si>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</si>
  <si>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</si>
  <si>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</si>
  <si>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</si>
  <si>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</si>
  <si>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</si>
  <si>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</si>
  <si>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</si>
  <si>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</si>
  <si>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</si>
  <si>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</si>
  <si>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</si>
  <si>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</si>
  <si>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</si>
  <si>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</si>
  <si>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</si>
  <si>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</si>
  <si>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</si>
  <si>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</si>
  <si>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</si>
  <si>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</si>
  <si>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</si>
  <si>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</si>
  <si>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</si>
  <si>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</si>
  <si>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</si>
  <si>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</si>
  <si>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</si>
  <si>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</si>
  <si>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</si>
  <si>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</si>
  <si>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</si>
  <si>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</si>
  <si>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</si>
  <si>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</si>
  <si>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</si>
  <si>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</si>
  <si>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</si>
  <si>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</si>
  <si>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</si>
  <si>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</si>
  <si>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</si>
  <si>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</si>
  <si>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</si>
  <si>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</si>
  <si>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</si>
  <si>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</si>
  <si>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</si>
  <si>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</si>
  <si>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</si>
  <si>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</si>
  <si>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</si>
  <si>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</si>
  <si>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</si>
  <si>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</si>
  <si>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</si>
  <si>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</si>
  <si>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</si>
  <si>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</si>
  <si>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</si>
  <si>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</si>
  <si>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</si>
  <si>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</si>
  <si>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</si>
  <si>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</si>
  <si>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</si>
  <si>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</si>
  <si>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</si>
  <si>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</si>
  <si>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</si>
  <si>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</si>
  <si>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</si>
  <si>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</si>
  <si>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</si>
  <si>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</si>
  <si>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</si>
  <si>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</si>
  <si>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</si>
  <si>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</si>
  <si>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</si>
  <si>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</si>
  <si>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</si>
  <si>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</si>
  <si>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</si>
  <si>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</si>
  <si>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</si>
  <si>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</si>
  <si>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</si>
  <si>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</si>
  <si>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</si>
  <si>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</si>
  <si>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</si>
  <si>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</si>
  <si>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</si>
  <si>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</si>
  <si>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</si>
  <si>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</si>
  <si>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</si>
  <si>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</si>
  <si>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</si>
  <si>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</si>
  <si>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</si>
  <si>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</si>
  <si>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</si>
  <si>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MACON</t>
  </si>
  <si>
    <t>PO BOX 200</t>
  </si>
  <si>
    <t>NIANTIC</t>
  </si>
  <si>
    <t>FLOYD &amp; ASSOCIATES, CPAS</t>
  </si>
  <si>
    <t>JULIE M FLOYD</t>
  </si>
  <si>
    <t>910 STATE HWY 54 EAST</t>
  </si>
  <si>
    <t>CLINTON</t>
  </si>
  <si>
    <t>IL</t>
  </si>
  <si>
    <t>217-935-8871</t>
  </si>
  <si>
    <t>217-935-5711</t>
  </si>
  <si>
    <t>julie.floyd@frontier.com</t>
  </si>
  <si>
    <t>ROBERT D MEADOWS</t>
  </si>
  <si>
    <t>meadows@sangamonvalley.org</t>
  </si>
  <si>
    <t>217-668-2338</t>
  </si>
  <si>
    <t>217-668-2406</t>
  </si>
  <si>
    <t>Working Cash Bonds</t>
  </si>
  <si>
    <t>2016 General Obligation Debt Certificates</t>
  </si>
  <si>
    <t>Milligan Academy, Futures</t>
  </si>
  <si>
    <t>Heartland Technical Academy</t>
  </si>
  <si>
    <t>Tri City C.U.S.D. #1-Athletics</t>
  </si>
  <si>
    <t>Evergreen FS</t>
  </si>
  <si>
    <t>KingLar</t>
  </si>
  <si>
    <t>Kohl Wholesale</t>
  </si>
  <si>
    <t>Prairie Farms</t>
  </si>
  <si>
    <t>40-2550-400</t>
  </si>
  <si>
    <t>10-2560-400</t>
  </si>
  <si>
    <t>10-2540-300</t>
  </si>
  <si>
    <t>Government Obligation Contract</t>
  </si>
  <si>
    <t>General Obligation Debt Certificates</t>
  </si>
  <si>
    <t>Floyd &amp; Associate, CPAs</t>
  </si>
  <si>
    <t>Page 11, Line 107:</t>
  </si>
  <si>
    <t xml:space="preserve"> Education Fund:</t>
  </si>
  <si>
    <t xml:space="preserve">  ADM Grant</t>
  </si>
  <si>
    <t xml:space="preserve">  Miscellaneous</t>
  </si>
  <si>
    <t xml:space="preserve">  Refunds</t>
  </si>
  <si>
    <t xml:space="preserve"> Operations &amp; Maintenance Fund:</t>
  </si>
  <si>
    <t xml:space="preserve">  Village of Harristown</t>
  </si>
  <si>
    <t xml:space="preserve"> Transportation Fund:</t>
  </si>
  <si>
    <t xml:space="preserve">  CNA Bus Reimbursement</t>
  </si>
  <si>
    <t>Page 10, Line 81:</t>
  </si>
  <si>
    <t xml:space="preserve">   P.E. Uniform Sales</t>
  </si>
  <si>
    <t>Page 12, Line 168:</t>
  </si>
  <si>
    <t xml:space="preserve">  State Library Grant</t>
  </si>
  <si>
    <t>Page 14, Line 265:</t>
  </si>
  <si>
    <t xml:space="preserve">  Vocational PIG Grant</t>
  </si>
  <si>
    <t xml:space="preserve">  Sport Coop</t>
  </si>
  <si>
    <t xml:space="preserve">  E-Rate Rebate</t>
  </si>
  <si>
    <t>Page 18, Line 171:</t>
  </si>
  <si>
    <t xml:space="preserve">  Debt Service Fund</t>
  </si>
  <si>
    <t xml:space="preserve">   Bond Fees</t>
  </si>
  <si>
    <t>Sangamon Valley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</si>
</sst>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3" fontId="56" fillId="0" borderId="0" xfId="0" applyNumberFormat="1" applyFont="1"/>
    <xf numFmtId="0" fontId="56" fillId="0" borderId="0" xfId="0" applyFont="1" applyAlignment="1">
      <alignment horizontal="right"/>
    </xf>
    <xf numFmtId="3" fontId="56" fillId="0" borderId="0" xfId="0" applyNumberFormat="1" applyFont="1" applyAlignment="1">
      <alignment horizontal="right"/>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2064</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2064</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39055009026</v>
      </c>
      <c r="B13" s="1989"/>
      <c r="C13" s="1989"/>
      <c r="D13" s="1989"/>
      <c r="E13" s="1989"/>
      <c r="F13" s="1989"/>
      <c r="G13" s="1989"/>
      <c r="H13" s="1990"/>
      <c r="I13" s="31"/>
      <c r="J13" s="30"/>
      <c r="K13" s="28"/>
      <c r="L13" s="30"/>
      <c r="M13" s="30"/>
      <c r="N13" s="30"/>
      <c r="O13" s="30"/>
      <c r="P13" s="30"/>
      <c r="Q13" s="30"/>
      <c r="R13" s="30"/>
      <c r="S13" s="30"/>
      <c r="T13" s="1993" t="s">
        <v>2068</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2065</v>
      </c>
      <c r="B15" s="1991"/>
      <c r="C15" s="1991"/>
      <c r="D15" s="1991"/>
      <c r="E15" s="1991"/>
      <c r="F15" s="1991"/>
      <c r="G15" s="1991"/>
      <c r="H15" s="1992"/>
      <c r="T15" s="1954" t="s">
        <v>2069</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2115</v>
      </c>
      <c r="B17" s="2016"/>
      <c r="C17" s="2016"/>
      <c r="D17" s="2016"/>
      <c r="E17" s="2016"/>
      <c r="F17" s="2016"/>
      <c r="G17" s="2016"/>
      <c r="H17" s="2017"/>
      <c r="T17" s="2003" t="s">
        <v>2070</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2066</v>
      </c>
      <c r="B19" s="1987"/>
      <c r="C19" s="1987"/>
      <c r="D19" s="1987"/>
      <c r="E19" s="1987"/>
      <c r="F19" s="1987"/>
      <c r="G19" s="1987"/>
      <c r="H19" s="1985"/>
      <c r="I19" s="30"/>
      <c r="J19" s="99"/>
      <c r="K19" s="40"/>
      <c r="L19" s="38"/>
      <c r="M19" s="112" t="s">
        <v>315</v>
      </c>
      <c r="P19" s="27"/>
      <c r="Q19" s="27"/>
      <c r="R19" s="27"/>
      <c r="S19" s="31"/>
      <c r="T19" s="1986" t="s">
        <v>2071</v>
      </c>
      <c r="U19" s="1984"/>
      <c r="V19" s="1984"/>
      <c r="W19" s="1985"/>
      <c r="X19" s="2001" t="s">
        <v>2072</v>
      </c>
      <c r="Y19" s="2002"/>
      <c r="Z19" s="1999">
        <v>61727</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2067</v>
      </c>
      <c r="B21" s="1984"/>
      <c r="C21" s="1984"/>
      <c r="D21" s="1984"/>
      <c r="E21" s="1984"/>
      <c r="F21" s="1984"/>
      <c r="G21" s="1984"/>
      <c r="H21" s="1985"/>
      <c r="I21" s="2009" t="s">
        <v>678</v>
      </c>
      <c r="J21" s="1972"/>
      <c r="K21" s="1972"/>
      <c r="L21" s="1972"/>
      <c r="M21" s="1972"/>
      <c r="N21" s="1972"/>
      <c r="O21" s="1972"/>
      <c r="P21" s="1972"/>
      <c r="Q21" s="1972"/>
      <c r="R21" s="1972"/>
      <c r="S21" s="1973"/>
      <c r="T21" s="1951" t="s">
        <v>2073</v>
      </c>
      <c r="U21" s="1952"/>
      <c r="V21" s="1952"/>
      <c r="W21" s="1952"/>
      <c r="X21" s="1965" t="s">
        <v>2074</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c r="B23" s="2007"/>
      <c r="C23" s="2007"/>
      <c r="D23" s="2007"/>
      <c r="E23" s="2007"/>
      <c r="F23" s="2007"/>
      <c r="G23" s="2007"/>
      <c r="H23" s="2008"/>
      <c r="T23" s="1946">
        <v>66.004384999999999</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62551</v>
      </c>
      <c r="B25" s="1984"/>
      <c r="C25" s="1984"/>
      <c r="D25" s="1984"/>
      <c r="E25" s="1984"/>
      <c r="F25" s="1984"/>
      <c r="G25" s="1984"/>
      <c r="H25" s="1985"/>
      <c r="I25" s="113"/>
      <c r="J25" s="2050"/>
      <c r="K25" s="2050"/>
      <c r="L25" s="2050"/>
      <c r="M25" s="2050"/>
      <c r="N25" s="2050"/>
      <c r="O25" s="2050"/>
      <c r="P25" s="2050"/>
      <c r="Q25" s="2050"/>
      <c r="R25" s="2050"/>
      <c r="S25" s="2051"/>
      <c r="T25" s="1943" t="s">
        <v>2075</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2076</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2077</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2078</v>
      </c>
      <c r="B42" s="2033"/>
      <c r="C42" s="2034"/>
      <c r="D42" s="2047" t="s">
        <v>2079</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43" sqref="D4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3221822</v>
      </c>
      <c r="C4" s="1524">
        <v>807119</v>
      </c>
      <c r="D4" s="1752">
        <f>B4-C4</f>
        <v>2414703</v>
      </c>
      <c r="E4" s="1524">
        <v>3244779</v>
      </c>
      <c r="F4" s="1752">
        <f>E4-C4</f>
        <v>2437660</v>
      </c>
    </row>
    <row r="5" spans="1:6" ht="13.7" customHeight="1" x14ac:dyDescent="0.2">
      <c r="A5" s="715" t="s">
        <v>870</v>
      </c>
      <c r="B5" s="1750">
        <f>'Revenues 9-14'!D5</f>
        <v>492226</v>
      </c>
      <c r="C5" s="585">
        <v>123314</v>
      </c>
      <c r="D5" s="1753">
        <f t="shared" ref="D5:D18" si="0">B5-C5</f>
        <v>368912</v>
      </c>
      <c r="E5" s="585">
        <v>495747</v>
      </c>
      <c r="F5" s="1753">
        <f>E5-C5</f>
        <v>372433</v>
      </c>
    </row>
    <row r="6" spans="1:6" ht="13.7" customHeight="1" x14ac:dyDescent="0.2">
      <c r="A6" s="715" t="s">
        <v>411</v>
      </c>
      <c r="B6" s="1750">
        <f>'Revenues 9-14'!E5</f>
        <v>165081</v>
      </c>
      <c r="C6" s="585">
        <v>41923</v>
      </c>
      <c r="D6" s="1753">
        <f t="shared" si="0"/>
        <v>123158</v>
      </c>
      <c r="E6" s="585">
        <v>168537</v>
      </c>
      <c r="F6" s="1753">
        <f t="shared" ref="F6:F18" si="1">E6-C6</f>
        <v>126614</v>
      </c>
    </row>
    <row r="7" spans="1:6" ht="13.7" customHeight="1" x14ac:dyDescent="0.2">
      <c r="A7" s="715" t="s">
        <v>155</v>
      </c>
      <c r="B7" s="1750">
        <f>'Revenues 9-14'!F5</f>
        <v>178981</v>
      </c>
      <c r="C7" s="585">
        <v>44831</v>
      </c>
      <c r="D7" s="1753">
        <f t="shared" si="0"/>
        <v>134150</v>
      </c>
      <c r="E7" s="585">
        <v>180230</v>
      </c>
      <c r="F7" s="1753">
        <f t="shared" si="1"/>
        <v>135399</v>
      </c>
    </row>
    <row r="8" spans="1:6" ht="13.7" customHeight="1" x14ac:dyDescent="0.2">
      <c r="A8" s="715" t="s">
        <v>1179</v>
      </c>
      <c r="B8" s="1750">
        <f>'Revenues 9-14'!G5</f>
        <v>82392</v>
      </c>
      <c r="C8" s="585">
        <v>20427</v>
      </c>
      <c r="D8" s="1753">
        <f t="shared" si="0"/>
        <v>61965</v>
      </c>
      <c r="E8" s="585">
        <v>82122</v>
      </c>
      <c r="F8" s="1753">
        <f t="shared" si="1"/>
        <v>61695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9940</v>
      </c>
      <c r="C10" s="585">
        <v>2477</v>
      </c>
      <c r="D10" s="1753">
        <f t="shared" si="0"/>
        <v>7463</v>
      </c>
      <c r="E10" s="585">
        <v>9957</v>
      </c>
      <c r="F10" s="1753">
        <f t="shared" si="1"/>
        <v>7480</v>
      </c>
    </row>
    <row r="11" spans="1:6" x14ac:dyDescent="0.2">
      <c r="A11" s="715" t="s">
        <v>409</v>
      </c>
      <c r="B11" s="1750">
        <f>'Revenues 9-14'!J5</f>
        <v>194867</v>
      </c>
      <c r="C11" s="585">
        <v>48308</v>
      </c>
      <c r="D11" s="1753">
        <f t="shared" si="0"/>
        <v>146559</v>
      </c>
      <c r="E11" s="585">
        <v>194206</v>
      </c>
      <c r="F11" s="1753">
        <f t="shared" si="1"/>
        <v>145898</v>
      </c>
    </row>
    <row r="12" spans="1:6" ht="13.7" customHeight="1" x14ac:dyDescent="0.2">
      <c r="A12" s="715" t="s">
        <v>157</v>
      </c>
      <c r="B12" s="1750">
        <f>'Revenues 9-14'!K5</f>
        <v>44740</v>
      </c>
      <c r="C12" s="585">
        <v>11202</v>
      </c>
      <c r="D12" s="1753">
        <f t="shared" si="0"/>
        <v>33538</v>
      </c>
      <c r="E12" s="585">
        <v>45035</v>
      </c>
      <c r="F12" s="1753">
        <f t="shared" si="1"/>
        <v>33833</v>
      </c>
    </row>
    <row r="13" spans="1:6" ht="13.7" customHeight="1" x14ac:dyDescent="0.2">
      <c r="A13" s="715" t="s">
        <v>936</v>
      </c>
      <c r="B13" s="1750">
        <f>SUM('Revenues 9-14'!C6:D6)</f>
        <v>44740</v>
      </c>
      <c r="C13" s="585">
        <v>11202</v>
      </c>
      <c r="D13" s="1753">
        <f t="shared" si="0"/>
        <v>33538</v>
      </c>
      <c r="E13" s="585">
        <v>45035</v>
      </c>
      <c r="F13" s="1753">
        <f t="shared" si="1"/>
        <v>33833</v>
      </c>
    </row>
    <row r="14" spans="1:6" ht="13.7" customHeight="1" x14ac:dyDescent="0.2">
      <c r="A14" s="715" t="s">
        <v>410</v>
      </c>
      <c r="B14" s="1750">
        <f>SUM('Revenues 9-14'!C7:D7,'Revenues 9-14'!F7:H7)</f>
        <v>35805</v>
      </c>
      <c r="C14" s="585">
        <v>8975</v>
      </c>
      <c r="D14" s="1753">
        <f t="shared" si="0"/>
        <v>26830</v>
      </c>
      <c r="E14" s="585">
        <v>36082</v>
      </c>
      <c r="F14" s="1753">
        <f t="shared" si="1"/>
        <v>27107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155719</v>
      </c>
      <c r="C16" s="585">
        <v>38605</v>
      </c>
      <c r="D16" s="1753">
        <f t="shared" si="0"/>
        <v>117114</v>
      </c>
      <c r="E16" s="585">
        <v>155201</v>
      </c>
      <c r="F16" s="1753">
        <f t="shared" si="1"/>
        <v>116596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4626313</v>
      </c>
      <c r="C19" s="1751">
        <f>SUM(C4:C18)</f>
        <v>1158383</v>
      </c>
      <c r="D19" s="1751">
        <f>SUM(D4:D18)</f>
        <v>3467930</v>
      </c>
      <c r="E19" s="1751">
        <f>SUM(E4:E18)</f>
        <v>4656931</v>
      </c>
      <c r="F19" s="1751">
        <f>SUM(F4:F18)</f>
        <v>3498548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B32" sqref="B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41395</v>
      </c>
      <c r="C31" s="734">
        <v>1000000</v>
      </c>
      <c r="D31" s="735">
        <v>1</v>
      </c>
      <c r="E31" s="734">
        <v>475000</v>
      </c>
      <c r="F31" s="734"/>
      <c r="G31" s="734"/>
      <c r="H31" s="734">
        <v>150000</v>
      </c>
      <c r="I31" s="1756">
        <f>((E31+F31)-H31)+G31</f>
        <v>325000</v>
      </c>
      <c r="J31" s="734">
        <v>282007</v>
      </c>
      <c r="K31" s="736"/>
    </row>
    <row r="32" spans="1:11" ht="12" customHeight="1" x14ac:dyDescent="0.2">
      <c r="A32" s="732" t="s">
        <v>2081</v>
      </c>
      <c r="B32" s="733">
        <v>42580</v>
      </c>
      <c r="C32" s="734">
        <v>365000</v>
      </c>
      <c r="D32" s="735">
        <v>7</v>
      </c>
      <c r="E32" s="734">
        <v>290000</v>
      </c>
      <c r="F32" s="734"/>
      <c r="G32" s="734"/>
      <c r="H32" s="734">
        <v>95000</v>
      </c>
      <c r="I32" s="1756">
        <f>((E32+F32)-H32)+G32</f>
        <v>195000</v>
      </c>
      <c r="J32" s="734">
        <v>195000</v>
      </c>
      <c r="K32" s="736"/>
    </row>
    <row r="33" spans="1:11" ht="12" customHeight="1" x14ac:dyDescent="0.2">
      <c r="A33" s="732" t="s">
        <v>2092</v>
      </c>
      <c r="B33" s="733">
        <v>43558</v>
      </c>
      <c r="C33" s="734">
        <v>12849</v>
      </c>
      <c r="D33" s="735">
        <v>8</v>
      </c>
      <c r="E33" s="734"/>
      <c r="F33" s="734">
        <v>12849</v>
      </c>
      <c r="G33" s="734"/>
      <c r="H33" s="734">
        <v>4144</v>
      </c>
      <c r="I33" s="1756">
        <f t="shared" ref="I33:I48" si="1">((E33+F33)-H33)+G33</f>
        <v>8705</v>
      </c>
      <c r="J33" s="734">
        <v>8705</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1377849</v>
      </c>
      <c r="D49" s="745"/>
      <c r="E49" s="1756">
        <f t="shared" ref="E49:J49" si="2">SUM(E31:E48)</f>
        <v>765000</v>
      </c>
      <c r="F49" s="1756">
        <f t="shared" si="2"/>
        <v>12849</v>
      </c>
      <c r="G49" s="1756">
        <f t="shared" si="2"/>
        <v>0</v>
      </c>
      <c r="H49" s="1756">
        <f t="shared" si="2"/>
        <v>249144</v>
      </c>
      <c r="I49" s="1756">
        <f t="shared" si="2"/>
        <v>528705</v>
      </c>
      <c r="J49" s="1756">
        <f t="shared" si="2"/>
        <v>485712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t="s">
        <v>2093</v>
      </c>
      <c r="G52" s="2209"/>
      <c r="H52" s="736"/>
      <c r="I52" s="736"/>
      <c r="J52" s="746"/>
    </row>
    <row r="53" spans="1:11" ht="11.25" customHeight="1" x14ac:dyDescent="0.2">
      <c r="A53" s="750" t="s">
        <v>913</v>
      </c>
      <c r="B53" s="751" t="s">
        <v>951</v>
      </c>
      <c r="C53" s="746"/>
      <c r="D53" s="737"/>
      <c r="E53" s="749" t="s">
        <v>497</v>
      </c>
      <c r="F53" s="2210" t="s">
        <v>2092</v>
      </c>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35805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3959</v>
      </c>
    </row>
    <row r="8" spans="1:11" x14ac:dyDescent="0.2">
      <c r="A8" s="778" t="s">
        <v>345</v>
      </c>
      <c r="B8" s="779"/>
      <c r="C8" s="779"/>
      <c r="D8" s="779"/>
      <c r="E8" s="780"/>
      <c r="F8" s="770" t="s">
        <v>851</v>
      </c>
      <c r="G8" s="782"/>
      <c r="H8" s="782"/>
      <c r="I8" s="782"/>
      <c r="J8" s="765">
        <v>272197</v>
      </c>
      <c r="K8" s="769"/>
    </row>
    <row r="9" spans="1:11" x14ac:dyDescent="0.2">
      <c r="A9" s="778" t="s">
        <v>138</v>
      </c>
      <c r="B9" s="779"/>
      <c r="C9" s="779"/>
      <c r="D9" s="779"/>
      <c r="E9" s="780"/>
      <c r="F9" s="777" t="s">
        <v>853</v>
      </c>
      <c r="G9" s="782"/>
      <c r="H9" s="771"/>
      <c r="I9" s="771"/>
      <c r="J9" s="781"/>
      <c r="K9" s="765">
        <v>11475</v>
      </c>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35805</v>
      </c>
      <c r="I12" s="1758">
        <f>SUM(I5:I11)</f>
        <v>0</v>
      </c>
      <c r="J12" s="1758">
        <f>SUM(J5:J11)</f>
        <v>272197</v>
      </c>
      <c r="K12" s="1758">
        <f>SUM(K5:K11)</f>
        <v>15434</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v>35805</v>
      </c>
      <c r="I14" s="771"/>
      <c r="J14" s="773"/>
      <c r="K14" s="765">
        <v>15434</v>
      </c>
    </row>
    <row r="15" spans="1:11" x14ac:dyDescent="0.2">
      <c r="A15" s="2216" t="s">
        <v>4</v>
      </c>
      <c r="B15" s="2216"/>
      <c r="C15" s="2216"/>
      <c r="D15" s="2216"/>
      <c r="E15" s="2244"/>
      <c r="F15" s="789" t="s">
        <v>855</v>
      </c>
      <c r="G15" s="771"/>
      <c r="H15" s="764"/>
      <c r="I15" s="764"/>
      <c r="J15" s="765">
        <v>166510</v>
      </c>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v>105687</v>
      </c>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105687</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35805</v>
      </c>
      <c r="I23" s="1758">
        <f>SUM(I14:I16,I21,I22)</f>
        <v>0</v>
      </c>
      <c r="J23" s="1758">
        <f>SUM(J14:J16,J21,J22)</f>
        <v>272197</v>
      </c>
      <c r="K23" s="1758">
        <f>SUM(K14:K16,K21,K22)</f>
        <v>15434</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56972</v>
      </c>
      <c r="D5" s="841"/>
      <c r="E5" s="841"/>
      <c r="F5" s="1760">
        <f>(C5+D5)-E5</f>
        <v>56972</v>
      </c>
      <c r="G5" s="837"/>
      <c r="H5" s="842"/>
      <c r="I5" s="842"/>
      <c r="J5" s="842"/>
      <c r="K5" s="793"/>
      <c r="L5" s="1769">
        <f>F5-K5</f>
        <v>56972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5189865</v>
      </c>
      <c r="D8" s="844">
        <v>277175</v>
      </c>
      <c r="E8" s="844"/>
      <c r="F8" s="1760">
        <f>(C8+D8)-E8</f>
        <v>5467040</v>
      </c>
      <c r="G8" s="843">
        <v>50</v>
      </c>
      <c r="H8" s="765">
        <v>3706260</v>
      </c>
      <c r="I8" s="765">
        <v>82285</v>
      </c>
      <c r="J8" s="765"/>
      <c r="K8" s="1769">
        <f>(H8+I8)-J8</f>
        <v>3788545</v>
      </c>
      <c r="L8" s="1769">
        <f>F8-K8</f>
        <v>1678495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1554717</v>
      </c>
      <c r="D10" s="846">
        <v>133833</v>
      </c>
      <c r="E10" s="846"/>
      <c r="F10" s="1764">
        <f>(C10+D10)-E10</f>
        <v>1688550</v>
      </c>
      <c r="G10" s="843">
        <v>20</v>
      </c>
      <c r="H10" s="847">
        <v>505541</v>
      </c>
      <c r="I10" s="847">
        <v>81035</v>
      </c>
      <c r="J10" s="847"/>
      <c r="K10" s="1769">
        <f>(H10+I10)-J10</f>
        <v>586576</v>
      </c>
      <c r="L10" s="1769">
        <f>F10-K10</f>
        <v>1101974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2592953</v>
      </c>
      <c r="D12" s="844">
        <v>50630</v>
      </c>
      <c r="E12" s="844"/>
      <c r="F12" s="1760">
        <f>(C12+D12)-E12</f>
        <v>2643583</v>
      </c>
      <c r="G12" s="843">
        <v>10</v>
      </c>
      <c r="H12" s="765">
        <v>2066222</v>
      </c>
      <c r="I12" s="765">
        <v>111549</v>
      </c>
      <c r="J12" s="765"/>
      <c r="K12" s="1769">
        <f>(H12+I12)-J12</f>
        <v>2177771</v>
      </c>
      <c r="L12" s="1769">
        <f>F12-K12</f>
        <v>465812</v>
      </c>
    </row>
    <row r="13" spans="1:14" ht="14.25" thickTop="1" thickBot="1" x14ac:dyDescent="0.25">
      <c r="A13" s="848" t="s">
        <v>1122</v>
      </c>
      <c r="B13" s="840">
        <v>252</v>
      </c>
      <c r="C13" s="844">
        <v>1349725</v>
      </c>
      <c r="D13" s="844">
        <v>30408</v>
      </c>
      <c r="E13" s="844"/>
      <c r="F13" s="1760">
        <f>(C13+D13)-E13</f>
        <v>1380133</v>
      </c>
      <c r="G13" s="843">
        <v>5</v>
      </c>
      <c r="H13" s="765">
        <v>1298173</v>
      </c>
      <c r="I13" s="765">
        <v>19151</v>
      </c>
      <c r="J13" s="765"/>
      <c r="K13" s="1769">
        <f>(H13+I13)-J13</f>
        <v>1317324</v>
      </c>
      <c r="L13" s="1769">
        <f>F13-K13</f>
        <v>62809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19923</v>
      </c>
      <c r="E15" s="844"/>
      <c r="F15" s="1760">
        <f>(C15+D15)-E15</f>
        <v>19923</v>
      </c>
      <c r="G15" s="849" t="s">
        <v>862</v>
      </c>
      <c r="H15" s="781"/>
      <c r="I15" s="781"/>
      <c r="J15" s="781"/>
      <c r="K15" s="781"/>
      <c r="L15" s="1769">
        <f>F15-K15</f>
        <v>19923</v>
      </c>
    </row>
    <row r="16" spans="1:14" ht="15" customHeight="1" thickTop="1" thickBot="1" x14ac:dyDescent="0.25">
      <c r="A16" s="1765" t="s">
        <v>643</v>
      </c>
      <c r="B16" s="1766">
        <v>200</v>
      </c>
      <c r="C16" s="1760">
        <f>SUM(C3,C5:C6,C8:C10,C12:C15)</f>
        <v>10744232</v>
      </c>
      <c r="D16" s="1760">
        <f>SUM(D3,D5:D6,D8:D10,D12:D15)</f>
        <v>511969</v>
      </c>
      <c r="E16" s="1760">
        <f>SUM(E3,E5:E6,E8:E10,E12:E15)</f>
        <v>0</v>
      </c>
      <c r="F16" s="1760">
        <f>SUM(F3,F5:F6,F8:F10,F12:F15)</f>
        <v>11256201</v>
      </c>
      <c r="G16" s="843"/>
      <c r="H16" s="1760">
        <f>SUM(H3,H6,H8:H10,H12:H14,)</f>
        <v>7576196</v>
      </c>
      <c r="I16" s="1760">
        <f>SUM(I3,I6,I8:I10,I12:I14,)</f>
        <v>294020</v>
      </c>
      <c r="J16" s="1760">
        <f>SUM(J3,J6,J8:J10,J12:J14,)</f>
        <v>0</v>
      </c>
      <c r="K16" s="1760">
        <f>(H16+I16)-J16</f>
        <v>7870216</v>
      </c>
      <c r="L16" s="1760">
        <f>F16-K16</f>
        <v>3385985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169065</v>
      </c>
      <c r="G17" s="837">
        <v>10</v>
      </c>
      <c r="H17" s="769"/>
      <c r="I17" s="1769">
        <f>F17/G17</f>
        <v>16906.5</v>
      </c>
      <c r="J17" s="769"/>
      <c r="K17" s="795"/>
      <c r="L17" s="795"/>
    </row>
    <row r="18" spans="1:12" ht="14.25" thickTop="1" thickBot="1" x14ac:dyDescent="0.25">
      <c r="A18" s="1767" t="s">
        <v>685</v>
      </c>
      <c r="B18" s="1768"/>
      <c r="C18" s="771"/>
      <c r="D18" s="771"/>
      <c r="E18" s="771"/>
      <c r="F18" s="850"/>
      <c r="G18" s="851"/>
      <c r="H18" s="773"/>
      <c r="I18" s="1760">
        <f>SUM(I16,I17)</f>
        <v>310926.5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24" activePane="bottomLeft" state="frozen"/>
      <selection activeCell="D43" sqref="D43"/>
      <selection pane="bottomLeft" activeCell="F47" sqref="F4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5889789</v>
      </c>
      <c r="G8" s="865"/>
    </row>
    <row r="9" spans="1:7" x14ac:dyDescent="0.2">
      <c r="A9" s="869" t="s">
        <v>460</v>
      </c>
      <c r="B9" s="870" t="s">
        <v>1876</v>
      </c>
      <c r="C9" s="871"/>
      <c r="D9" s="869" t="s">
        <v>501</v>
      </c>
      <c r="E9" s="868"/>
      <c r="F9" s="1909">
        <f>'Expenditures 15-22'!K151</f>
        <v>611546</v>
      </c>
      <c r="G9" s="872"/>
    </row>
    <row r="10" spans="1:7" x14ac:dyDescent="0.2">
      <c r="A10" s="869" t="s">
        <v>499</v>
      </c>
      <c r="B10" s="870" t="s">
        <v>1877</v>
      </c>
      <c r="C10" s="871"/>
      <c r="D10" s="869" t="s">
        <v>501</v>
      </c>
      <c r="E10" s="868"/>
      <c r="F10" s="1909">
        <f>'Expenditures 15-22'!K174</f>
        <v>274571</v>
      </c>
      <c r="G10" s="872"/>
    </row>
    <row r="11" spans="1:7" x14ac:dyDescent="0.2">
      <c r="A11" s="869" t="s">
        <v>461</v>
      </c>
      <c r="B11" s="870" t="s">
        <v>1878</v>
      </c>
      <c r="C11" s="871"/>
      <c r="D11" s="869" t="s">
        <v>501</v>
      </c>
      <c r="E11" s="868"/>
      <c r="F11" s="1909">
        <f>'Expenditures 15-22'!K210</f>
        <v>652037</v>
      </c>
      <c r="G11" s="872"/>
    </row>
    <row r="12" spans="1:7" x14ac:dyDescent="0.2">
      <c r="A12" s="869" t="s">
        <v>462</v>
      </c>
      <c r="B12" s="870" t="s">
        <v>1879</v>
      </c>
      <c r="C12" s="871"/>
      <c r="D12" s="869" t="s">
        <v>501</v>
      </c>
      <c r="E12" s="868"/>
      <c r="F12" s="1909">
        <f>'Expenditures 15-22'!K295</f>
        <v>194495</v>
      </c>
      <c r="G12" s="872"/>
    </row>
    <row r="13" spans="1:7" x14ac:dyDescent="0.2">
      <c r="A13" s="869" t="s">
        <v>106</v>
      </c>
      <c r="B13" s="870" t="s">
        <v>1880</v>
      </c>
      <c r="C13" s="871"/>
      <c r="D13" s="869" t="s">
        <v>501</v>
      </c>
      <c r="E13" s="868"/>
      <c r="F13" s="1909">
        <f>'Expenditures 15-22'!K342</f>
        <v>163983</v>
      </c>
      <c r="G13" s="873"/>
    </row>
    <row r="14" spans="1:7" ht="12" customHeight="1" thickBot="1" x14ac:dyDescent="0.25">
      <c r="A14" s="1770"/>
      <c r="B14" s="1771"/>
      <c r="C14" s="1772"/>
      <c r="D14" s="1773" t="s">
        <v>501</v>
      </c>
      <c r="E14" s="1774" t="s">
        <v>958</v>
      </c>
      <c r="F14" s="1775">
        <f>SUM(F8:F13)</f>
        <v>7786421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89518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464995</v>
      </c>
      <c r="G53" s="865"/>
    </row>
    <row r="54" spans="1:7" x14ac:dyDescent="0.2">
      <c r="A54" s="869" t="s">
        <v>459</v>
      </c>
      <c r="B54" s="869" t="s">
        <v>1476</v>
      </c>
      <c r="C54" s="889" t="s">
        <v>982</v>
      </c>
      <c r="D54" s="885" t="s">
        <v>1095</v>
      </c>
      <c r="E54" s="868"/>
      <c r="F54" s="1913">
        <f>'Expenditures 15-22'!G114</f>
        <v>26851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35173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249144</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169065</v>
      </c>
      <c r="G66" s="865"/>
    </row>
    <row r="67" spans="1:8" x14ac:dyDescent="0.2">
      <c r="A67" s="869" t="s">
        <v>462</v>
      </c>
      <c r="B67" s="869" t="s">
        <v>1891</v>
      </c>
      <c r="C67" s="886" t="str">
        <f>'Expenditures 15-22'!B216</f>
        <v>1125</v>
      </c>
      <c r="D67" s="892" t="str">
        <f>'Expenditures 15-22'!A216</f>
        <v>Pre-K Programs</v>
      </c>
      <c r="E67" s="868"/>
      <c r="F67" s="1913">
        <f>'Expenditures 15-22'!K216</f>
        <v>3872</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480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1039098</v>
      </c>
      <c r="G76" s="865"/>
    </row>
    <row r="77" spans="1:8" s="893" customFormat="1" ht="12" customHeight="1" thickTop="1" thickBot="1" x14ac:dyDescent="0.25">
      <c r="A77" s="1779"/>
      <c r="B77" s="1776"/>
      <c r="C77" s="1772"/>
      <c r="D77" s="1777" t="s">
        <v>1899</v>
      </c>
      <c r="E77" s="1774"/>
      <c r="F77" s="1780">
        <f>(F14-F76)</f>
        <v>6747323</v>
      </c>
      <c r="G77" s="869"/>
    </row>
    <row r="78" spans="1:8" s="893" customFormat="1" ht="12" customHeight="1" thickTop="1" x14ac:dyDescent="0.2">
      <c r="A78" s="1781"/>
      <c r="B78" s="1776"/>
      <c r="C78" s="1772"/>
      <c r="D78" s="1777" t="s">
        <v>2060</v>
      </c>
      <c r="E78" s="1774"/>
      <c r="F78" s="898">
        <v>625.5</v>
      </c>
      <c r="G78" s="899"/>
      <c r="H78" s="869"/>
    </row>
    <row r="79" spans="1:8" s="893" customFormat="1" ht="12" customHeight="1" thickBot="1" x14ac:dyDescent="0.25">
      <c r="A79" s="1782"/>
      <c r="B79" s="1776"/>
      <c r="C79" s="1772"/>
      <c r="D79" s="1777" t="s">
        <v>1900</v>
      </c>
      <c r="E79" s="1774" t="s">
        <v>958</v>
      </c>
      <c r="F79" s="1783">
        <f>IF(F78&gt;0,F77/F78," Complete Line 78")</f>
        <v>10787.087130295764</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122933</v>
      </c>
      <c r="G94" s="912"/>
    </row>
    <row r="95" spans="1:7" x14ac:dyDescent="0.2">
      <c r="A95" s="908" t="s">
        <v>140</v>
      </c>
      <c r="B95" s="908" t="s">
        <v>175</v>
      </c>
      <c r="C95" s="910">
        <v>1700</v>
      </c>
      <c r="D95" s="918" t="str">
        <f>'Revenues 9-14'!A82</f>
        <v>Total District/School Activity Income</v>
      </c>
      <c r="E95" s="906"/>
      <c r="F95" s="1789">
        <f>SUM('Revenues 9-14'!C82,'Revenues 9-14'!D82)</f>
        <v>29370</v>
      </c>
      <c r="G95" s="912"/>
    </row>
    <row r="96" spans="1:7" x14ac:dyDescent="0.2">
      <c r="A96" s="908" t="s">
        <v>459</v>
      </c>
      <c r="B96" s="908" t="s">
        <v>176</v>
      </c>
      <c r="C96" s="910">
        <f>'Revenues 9-14'!B84</f>
        <v>1811</v>
      </c>
      <c r="D96" s="911" t="str">
        <f>'Revenues 9-14'!A84</f>
        <v>Rentals - Regular Textbooks</v>
      </c>
      <c r="E96" s="906"/>
      <c r="F96" s="1789">
        <f>'Revenues 9-14'!C84</f>
        <v>26083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8727</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5659</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2822</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11475</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389742</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169069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127335</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78855</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22920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3203</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7578</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1016521</v>
      </c>
    </row>
    <row r="175" spans="1:7" ht="12" customHeight="1" x14ac:dyDescent="0.2">
      <c r="A175" s="1770"/>
      <c r="B175" s="1784"/>
      <c r="C175" s="1785"/>
      <c r="D175" s="1786" t="s">
        <v>2055</v>
      </c>
      <c r="E175" s="1787"/>
      <c r="F175" s="1789">
        <f>'PCTC-OEPP 27-28'!F77-F174</f>
        <v>5730802</v>
      </c>
    </row>
    <row r="176" spans="1:7" ht="12" customHeight="1" x14ac:dyDescent="0.2">
      <c r="A176" s="1770"/>
      <c r="B176" s="1784"/>
      <c r="C176" s="1785"/>
      <c r="D176" s="1786" t="s">
        <v>1817</v>
      </c>
      <c r="E176" s="1787"/>
      <c r="F176" s="1789">
        <f>'Cap Outlay Deprec 26'!I18</f>
        <v>310926.5</v>
      </c>
    </row>
    <row r="177" spans="1:7" ht="12" customHeight="1" x14ac:dyDescent="0.2">
      <c r="A177" s="1770"/>
      <c r="B177" s="1784"/>
      <c r="C177" s="1785"/>
      <c r="D177" s="1786" t="s">
        <v>2056</v>
      </c>
      <c r="E177" s="1787"/>
      <c r="F177" s="1789">
        <f>F175+F176</f>
        <v>6041728.5</v>
      </c>
    </row>
    <row r="178" spans="1:7" ht="12" customHeight="1" x14ac:dyDescent="0.2">
      <c r="A178" s="1770"/>
      <c r="B178" s="1790"/>
      <c r="C178" s="1785"/>
      <c r="D178" s="1786" t="str">
        <f>D78</f>
        <v>9 Month ADA from District Average Daily Attendance/Prior General State Aid Inquiry 2018-2019</v>
      </c>
      <c r="E178" s="1787"/>
      <c r="F178" s="1791">
        <f>'PCTC-OEPP 27-28'!F78</f>
        <v>625.5</v>
      </c>
      <c r="G178" s="930"/>
    </row>
    <row r="179" spans="1:7" ht="12" customHeight="1" thickBot="1" x14ac:dyDescent="0.25">
      <c r="A179" s="1770"/>
      <c r="B179" s="1790"/>
      <c r="C179" s="1785"/>
      <c r="D179" s="1786" t="s">
        <v>2057</v>
      </c>
      <c r="E179" s="1787" t="s">
        <v>1545</v>
      </c>
      <c r="F179" s="1792">
        <f>F177/F178</f>
        <v>9659.0383693045569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D43" sqref="D4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534" t="s">
        <v>1819</v>
      </c>
      <c r="B6" s="1535"/>
      <c r="C6" s="1535"/>
      <c r="D6" s="1535"/>
      <c r="E6" s="1535"/>
      <c r="F6" s="1535"/>
      <c r="G6" s="1536"/>
    </row>
    <row r="7" spans="1:7" ht="30.75" customHeight="1" x14ac:dyDescent="0.25">
      <c r="A7" s="2278" t="s">
        <v>1931</v>
      </c>
      <c r="B7" s="2279"/>
      <c r="C7" s="2279"/>
      <c r="D7" s="2279"/>
      <c r="E7" s="2279"/>
      <c r="F7" s="2279"/>
      <c r="G7" s="2280"/>
    </row>
    <row r="8" spans="1:7" ht="15.75" customHeight="1" x14ac:dyDescent="0.25">
      <c r="A8" s="2281" t="s">
        <v>1906</v>
      </c>
      <c r="B8" s="2282"/>
      <c r="C8" s="2282"/>
      <c r="D8" s="2282"/>
      <c r="E8" s="2282"/>
      <c r="F8" s="2282"/>
      <c r="G8" s="2283"/>
    </row>
    <row r="9" spans="1:7" ht="35.25" customHeight="1" x14ac:dyDescent="0.25">
      <c r="A9" s="2278" t="s">
        <v>2063</v>
      </c>
      <c r="B9" s="2279"/>
      <c r="C9" s="2279"/>
      <c r="D9" s="2279"/>
      <c r="E9" s="2279"/>
      <c r="F9" s="2279"/>
      <c r="G9" s="2280"/>
    </row>
    <row r="10" spans="1:7" ht="15" customHeight="1" x14ac:dyDescent="0.25">
      <c r="A10" s="1537" t="s">
        <v>1820</v>
      </c>
      <c r="B10" s="1538"/>
      <c r="C10" s="1538"/>
      <c r="D10" s="1538"/>
      <c r="E10" s="1538"/>
      <c r="F10" s="1538"/>
      <c r="G10" s="1539"/>
    </row>
    <row r="11" spans="1:7" ht="17.25" customHeight="1" x14ac:dyDescent="0.25">
      <c r="A11" s="2278" t="s">
        <v>1933</v>
      </c>
      <c r="B11" s="2279"/>
      <c r="C11" s="2279"/>
      <c r="D11" s="2279"/>
      <c r="E11" s="2279"/>
      <c r="F11" s="2279"/>
      <c r="G11" s="2280"/>
    </row>
    <row r="12" spans="1:7" ht="15" customHeight="1" x14ac:dyDescent="0.25">
      <c r="A12" s="1537" t="s">
        <v>1825</v>
      </c>
      <c r="B12" s="1538"/>
      <c r="C12" s="1538"/>
      <c r="D12" s="1538"/>
      <c r="E12" s="1538"/>
      <c r="F12" s="1538"/>
      <c r="G12" s="1539"/>
    </row>
    <row r="13" spans="1:7" ht="32.25" customHeight="1" x14ac:dyDescent="0.25">
      <c r="A13" s="2269" t="s">
        <v>1974</v>
      </c>
      <c r="B13" s="2270"/>
      <c r="C13" s="2270"/>
      <c r="D13" s="2270"/>
      <c r="E13" s="2270"/>
      <c r="F13" s="2270"/>
      <c r="G13" s="2271"/>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9" t="s">
        <v>2089</v>
      </c>
      <c r="C17" s="1938" t="s">
        <v>2085</v>
      </c>
      <c r="D17" s="1844">
        <v>69315</v>
      </c>
      <c r="E17" s="1540">
        <f t="shared" ref="E17:E141" si="0">IF(D17&lt;=25000,D17,IF(D17&gt;25000,25000,0))</f>
        <v>25000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44315</v>
      </c>
      <c r="H17" s="1647"/>
    </row>
    <row r="18" spans="1:8" x14ac:dyDescent="0.25">
      <c r="A18" s="1653"/>
      <c r="B18" s="1939" t="s">
        <v>2090</v>
      </c>
      <c r="C18" s="1938" t="s">
        <v>2087</v>
      </c>
      <c r="D18" s="1844">
        <v>122522</v>
      </c>
      <c r="E18" s="1540">
        <f t="shared" ref="E18:E140" si="2">IF(D18&lt;=25000,D18,IF(D18&gt;25000,25000,0))</f>
        <v>25000</v>
      </c>
      <c r="F18" s="1933">
        <f t="shared" si="1"/>
        <v>25000</v>
      </c>
      <c r="G18" s="1793">
        <f t="shared" ref="G18:G140" si="3">IF(F18=0,0,D18-F18)</f>
        <v>97522</v>
      </c>
    </row>
    <row r="19" spans="1:8" x14ac:dyDescent="0.25">
      <c r="A19" s="1653"/>
      <c r="B19" s="1939" t="s">
        <v>2090</v>
      </c>
      <c r="C19" s="1938" t="s">
        <v>2088</v>
      </c>
      <c r="D19" s="1844">
        <v>25239</v>
      </c>
      <c r="E19" s="1540">
        <f t="shared" si="2"/>
        <v>25000</v>
      </c>
      <c r="F19" s="1933">
        <f t="shared" si="1"/>
        <v>25000</v>
      </c>
      <c r="G19" s="1793">
        <f t="shared" si="3"/>
        <v>239</v>
      </c>
    </row>
    <row r="20" spans="1:8" x14ac:dyDescent="0.25">
      <c r="A20" s="1653"/>
      <c r="B20" s="1939" t="s">
        <v>2091</v>
      </c>
      <c r="C20" s="1938" t="s">
        <v>2086</v>
      </c>
      <c r="D20" s="1844">
        <v>41221</v>
      </c>
      <c r="E20" s="1540">
        <f t="shared" si="2"/>
        <v>25000</v>
      </c>
      <c r="F20" s="1933">
        <f t="shared" si="1"/>
        <v>25000</v>
      </c>
      <c r="G20" s="1793">
        <f t="shared" si="3"/>
        <v>16221</v>
      </c>
    </row>
    <row r="21" spans="1:8" x14ac:dyDescent="0.25">
      <c r="A21" s="1653"/>
      <c r="B21" s="1939"/>
      <c r="C21" s="1938"/>
      <c r="D21" s="1844"/>
      <c r="E21" s="1540">
        <f t="shared" si="2"/>
        <v>0</v>
      </c>
      <c r="F21" s="1933">
        <f t="shared" si="1"/>
        <v>0</v>
      </c>
      <c r="G21" s="1793">
        <f t="shared" si="3"/>
        <v>0</v>
      </c>
    </row>
    <row r="22" spans="1:8" x14ac:dyDescent="0.25">
      <c r="A22" s="1653"/>
      <c r="B22" s="1939"/>
      <c r="C22" s="1938"/>
      <c r="D22" s="1844"/>
      <c r="E22" s="1540">
        <f t="shared" si="2"/>
        <v>0</v>
      </c>
      <c r="F22" s="1933">
        <f t="shared" si="1"/>
        <v>0</v>
      </c>
      <c r="G22" s="1793">
        <f t="shared" si="3"/>
        <v>0</v>
      </c>
    </row>
    <row r="23" spans="1:8" x14ac:dyDescent="0.25">
      <c r="A23" s="1653"/>
      <c r="B23" s="1935"/>
      <c r="C23" s="1938"/>
      <c r="D23" s="1844"/>
      <c r="E23" s="1540">
        <f t="shared" si="2"/>
        <v>0</v>
      </c>
      <c r="F23" s="1933">
        <f t="shared" si="1"/>
        <v>0</v>
      </c>
      <c r="G23" s="1793">
        <f t="shared" si="3"/>
        <v>0</v>
      </c>
    </row>
    <row r="24" spans="1:8" x14ac:dyDescent="0.25">
      <c r="A24" s="1653"/>
      <c r="B24" s="1935"/>
      <c r="C24" s="1938"/>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258297</v>
      </c>
      <c r="E141" s="1541">
        <f t="shared" si="0"/>
        <v>25000</v>
      </c>
      <c r="F141" s="1934">
        <f>SUM(F17:F140)</f>
        <v>100000</v>
      </c>
      <c r="G141" s="1795">
        <f>SUM(G17:G140)</f>
        <v>158297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v>21618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4109578</v>
      </c>
      <c r="F19" s="1799"/>
      <c r="G19" s="1801">
        <f>'Expenditures 15-22'!K33-SUM('Expenditures 15-22'!G33,'Expenditures 15-22'!I33)+'Expenditures 15-22'!D229</f>
        <v>4109578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144781</v>
      </c>
      <c r="F21" s="1802"/>
      <c r="G21" s="1805">
        <f>'Expenditures 15-22'!K42-SUM('Expenditures 15-22'!G42,'Expenditures 15-22'!I42)+'Expenditures 15-22'!K120-SUM('Expenditures 15-22'!G120,'Expenditures 15-22'!I120)+'Expenditures 15-22'!K180-SUM('Expenditures 15-22'!G180,'Expenditures 15-22'!I180)+'Expenditures 15-22'!D238</f>
        <v>144781</v>
      </c>
      <c r="H21" s="987"/>
      <c r="I21" s="162"/>
    </row>
    <row r="22" spans="1:9" s="668" customFormat="1" ht="12" customHeight="1" x14ac:dyDescent="0.2">
      <c r="A22" s="994" t="s">
        <v>564</v>
      </c>
      <c r="B22" s="995"/>
      <c r="C22" s="993">
        <v>2200</v>
      </c>
      <c r="D22" s="1802"/>
      <c r="E22" s="1804">
        <f>'Expenditures 15-22'!K47-SUM('Expenditures 15-22'!G47,'Expenditures 15-22'!I47)+'Expenditures 15-22'!D243</f>
        <v>108618</v>
      </c>
      <c r="F22" s="1802"/>
      <c r="G22" s="1805">
        <f>'Expenditures 15-22'!K47-SUM('Expenditures 15-22'!G47,'Expenditures 15-22'!I47)+'Expenditures 15-22'!D243</f>
        <v>108618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347562</v>
      </c>
      <c r="F23" s="1802"/>
      <c r="G23" s="1804">
        <f>'Expenditures 15-22'!K53-SUM('Expenditures 15-22'!G53,'Expenditures 15-22'!I53)+'Expenditures 15-22'!D257+'Expenditures 15-22'!K330-SUM('Expenditures 15-22'!G330,'Expenditures 15-22'!I330)</f>
        <v>347562</v>
      </c>
      <c r="H23" s="987"/>
      <c r="I23" s="162"/>
    </row>
    <row r="24" spans="1:9" s="668" customFormat="1" ht="12" customHeight="1" x14ac:dyDescent="0.2">
      <c r="A24" s="994" t="s">
        <v>566</v>
      </c>
      <c r="B24" s="995"/>
      <c r="C24" s="993">
        <v>2400</v>
      </c>
      <c r="D24" s="1802"/>
      <c r="E24" s="1804">
        <f>'Expenditures 15-22'!K57-SUM('Expenditures 15-22'!G57,'Expenditures 15-22'!I57)+'Expenditures 15-22'!D261</f>
        <v>411326</v>
      </c>
      <c r="F24" s="1802"/>
      <c r="G24" s="1805">
        <f>'Expenditures 15-22'!K57-SUM('Expenditures 15-22'!G57,'Expenditures 15-22'!I57)+'Expenditures 15-22'!D261</f>
        <v>411326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61160</v>
      </c>
      <c r="E27" s="1804">
        <f>E8</f>
        <v>0</v>
      </c>
      <c r="F27" s="1804">
        <f>'Expenditures 15-22'!K60-SUM('Expenditures 15-22'!G60,'Expenditures 15-22'!I60)+'Expenditures 15-22'!D264-E8</f>
        <v>61160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745739</v>
      </c>
      <c r="F28" s="1806">
        <f>'Expenditures 15-22'!K61-SUM('Expenditures 15-22'!G61,'Expenditures 15-22'!I61)+'Expenditures 15-22'!K124-SUM('Expenditures 15-22'!G124,'Expenditures 15-22'!I124)+'Expenditures 15-22'!D266-E9</f>
        <v>745739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535382</v>
      </c>
      <c r="F29" s="1802"/>
      <c r="G29" s="1805">
        <f>'Expenditures 15-22'!K62-SUM('Expenditures 15-22'!G62,'Expenditures 15-22'!I62)+'Expenditures 15-22'!K125-SUM('Expenditures 15-22'!G125,'Expenditures 15-22'!I125)+'Expenditures 15-22'!K182-SUM('Expenditures 15-22'!G182,'Expenditures 15-22'!I182)+'Expenditures 15-22'!D267</f>
        <v>535382</v>
      </c>
      <c r="H29" s="985"/>
    </row>
    <row r="30" spans="1:9" ht="12" customHeight="1" x14ac:dyDescent="0.2">
      <c r="A30" s="994" t="s">
        <v>100</v>
      </c>
      <c r="B30" s="997"/>
      <c r="C30" s="993">
        <v>2560</v>
      </c>
      <c r="D30" s="1802"/>
      <c r="E30" s="1804">
        <f>'Expenditures 15-22'!K63-SUM('Expenditures 15-22'!G63,'Expenditures 15-22'!I63)+'Expenditures 15-22'!D268-E10</f>
        <v>351620</v>
      </c>
      <c r="F30" s="1802"/>
      <c r="G30" s="1804">
        <f>'Expenditures 15-22'!K63-SUM('Expenditures 15-22'!G63,'Expenditures 15-22'!I63)+'Expenditures 15-22'!D268-E10</f>
        <v>351620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-158297</v>
      </c>
      <c r="F40" s="1802"/>
      <c r="G40" s="1806">
        <f>-'Contracts Paid in CY 29'!G141</f>
        <v>-158297</v>
      </c>
    </row>
    <row r="41" spans="1:7" ht="12" customHeight="1" x14ac:dyDescent="0.2">
      <c r="A41" s="998" t="s">
        <v>156</v>
      </c>
      <c r="B41" s="999"/>
      <c r="C41" s="1000"/>
      <c r="D41" s="1806">
        <f>SUM(D19:D39)</f>
        <v>61160</v>
      </c>
      <c r="E41" s="1806">
        <f>SUM(E19:E40)</f>
        <v>6596309</v>
      </c>
      <c r="F41" s="1806">
        <f>SUM(F19:F39)</f>
        <v>806899</v>
      </c>
      <c r="G41" s="1806">
        <f>SUM(G19:G40)</f>
        <v>5850570</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61160</v>
      </c>
      <c r="F43" s="1807" t="s">
        <v>473</v>
      </c>
      <c r="G43" s="1808">
        <f>F41</f>
        <v>806899</v>
      </c>
    </row>
    <row r="44" spans="1:7" ht="12" customHeight="1" x14ac:dyDescent="0.2">
      <c r="A44" s="987"/>
      <c r="B44" s="162"/>
      <c r="C44" s="1001"/>
      <c r="D44" s="1807" t="s">
        <v>474</v>
      </c>
      <c r="E44" s="1808">
        <f>E41</f>
        <v>6596309</v>
      </c>
      <c r="F44" s="1807" t="s">
        <v>474</v>
      </c>
      <c r="G44" s="1808">
        <f>G41</f>
        <v>5850570</v>
      </c>
    </row>
    <row r="45" spans="1:7" ht="12" customHeight="1" x14ac:dyDescent="0.2">
      <c r="A45" s="987"/>
      <c r="B45" s="162"/>
      <c r="C45" s="162"/>
      <c r="D45" s="1809" t="s">
        <v>1006</v>
      </c>
      <c r="E45" s="1810">
        <f>(E43/E44)</f>
        <v>9.2718518795890242E-3</v>
      </c>
      <c r="F45" s="1809" t="s">
        <v>1006</v>
      </c>
      <c r="G45" s="1810">
        <f>(G43/G44)</f>
        <v>0.13791801482590585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D43" sqref="D43"/>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Sangamon Valley CUSD 9</v>
      </c>
      <c r="D6" s="2299"/>
      <c r="E6" s="2299"/>
      <c r="F6" s="1852"/>
    </row>
    <row r="7" spans="1:10" ht="11.25" customHeight="1" thickBot="1" x14ac:dyDescent="0.3">
      <c r="A7" s="1850"/>
      <c r="B7" s="1851"/>
      <c r="C7" s="2300">
        <f>COVER!A13</f>
        <v>39055009026</v>
      </c>
      <c r="D7" s="2300"/>
      <c r="E7" s="230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t="s">
        <v>2064</v>
      </c>
      <c r="F13" s="1867" t="s">
        <v>2082</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2083</v>
      </c>
      <c r="H31" s="1878">
        <f t="shared" si="0"/>
        <v>5</v>
      </c>
      <c r="I31" s="1878">
        <f t="shared" si="1"/>
        <v>5</v>
      </c>
      <c r="J31" s="1878">
        <f t="shared" si="2"/>
        <v>5</v>
      </c>
      <c r="L31" s="1869"/>
    </row>
    <row r="32" spans="1:12" ht="12" customHeight="1" x14ac:dyDescent="0.2">
      <c r="A32" s="1863" t="s">
        <v>1540</v>
      </c>
      <c r="B32" s="1864"/>
      <c r="C32" s="1865" t="s">
        <v>2064</v>
      </c>
      <c r="D32" s="1865" t="s">
        <v>2064</v>
      </c>
      <c r="E32" s="1868" t="s">
        <v>2064</v>
      </c>
      <c r="F32" s="1867" t="s">
        <v>2084</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43" sqref="D4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Sangamon Valley CUSD 9</v>
      </c>
      <c r="J6" s="2320"/>
      <c r="Q6" s="1664"/>
    </row>
    <row r="7" spans="1:17" x14ac:dyDescent="0.2">
      <c r="A7" s="2321" t="s">
        <v>869</v>
      </c>
      <c r="B7" s="2322"/>
      <c r="C7" s="2322"/>
      <c r="D7" s="2322"/>
      <c r="E7" s="2323"/>
      <c r="F7" s="1017"/>
      <c r="G7" s="1009"/>
      <c r="H7" s="1016" t="s">
        <v>372</v>
      </c>
      <c r="I7" s="2324">
        <f>COVER!A13</f>
        <v>39055009026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136467</v>
      </c>
      <c r="F12" s="1039"/>
      <c r="G12" s="1811">
        <f t="shared" ref="G12:G18" si="0">SUM(E12:F12)</f>
        <v>136467</v>
      </c>
      <c r="H12" s="1040">
        <v>135546</v>
      </c>
      <c r="I12" s="1039"/>
      <c r="J12" s="1811">
        <f t="shared" ref="J12:J18" si="1">SUM(H12:I12)</f>
        <v>135546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136467</v>
      </c>
      <c r="F19" s="1813">
        <f t="shared" si="2"/>
        <v>0</v>
      </c>
      <c r="G19" s="1813">
        <f t="shared" si="2"/>
        <v>136467</v>
      </c>
      <c r="H19" s="1813">
        <f t="shared" si="2"/>
        <v>135546</v>
      </c>
      <c r="I19" s="1813">
        <f t="shared" si="2"/>
        <v>0</v>
      </c>
      <c r="J19" s="1813">
        <f t="shared" si="2"/>
        <v>135546</v>
      </c>
    </row>
    <row r="20" spans="1:10" ht="13.5" thickTop="1" x14ac:dyDescent="0.2">
      <c r="A20" s="1035">
        <v>9</v>
      </c>
      <c r="B20" s="2331" t="s">
        <v>1979</v>
      </c>
      <c r="C20" s="2331"/>
      <c r="D20" s="2332"/>
      <c r="E20" s="1046"/>
      <c r="F20" s="1046"/>
      <c r="G20" s="1046"/>
      <c r="H20" s="1046"/>
      <c r="I20" s="1046"/>
      <c r="J20" s="1814">
        <f>IF(AND(G19&gt;0,J19&gt;0),(((J19-G19)/G19)),"Enter Budget Data")</f>
        <v>-6.7488843456659856E-3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zoomScale="110" zoomScaleNormal="110" workbookViewId="0">
      <selection activeCell="B33" sqref="B33"/>
    </sheetView>
  </sheetViews>
  <sheetFormatPr defaultRowHeight="12.75" x14ac:dyDescent="0.2"/>
  <cols>
    <col min="1" max="1" width="3" style="329" customWidth="1"/>
    <col min="2" max="2" width="47.710937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68">
        <v>1</v>
      </c>
      <c r="B5" s="329" t="s">
        <v>2104</v>
      </c>
      <c r="C5" s="391"/>
      <c r="D5" s="1940" t="s">
        <v>958</v>
      </c>
    </row>
    <row r="6" spans="1:4" x14ac:dyDescent="0.2">
      <c r="A6" s="1068">
        <v>2</v>
      </c>
      <c r="B6" s="329" t="s">
        <v>2096</v>
      </c>
      <c r="D6" s="1940"/>
    </row>
    <row r="7" spans="1:4" x14ac:dyDescent="0.2">
      <c r="A7" s="1068">
        <v>3</v>
      </c>
      <c r="B7" s="329" t="s">
        <v>2105</v>
      </c>
      <c r="D7" s="1942">
        <v>3087</v>
      </c>
    </row>
    <row r="8" spans="1:4" x14ac:dyDescent="0.2">
      <c r="A8" s="1068">
        <v>4</v>
      </c>
      <c r="D8" s="1942"/>
    </row>
    <row r="9" spans="1:4" x14ac:dyDescent="0.2">
      <c r="A9" s="1069"/>
      <c r="B9" s="329" t="s">
        <v>2095</v>
      </c>
      <c r="D9" s="1942"/>
    </row>
    <row r="10" spans="1:4" x14ac:dyDescent="0.2">
      <c r="A10" s="1069"/>
      <c r="B10" s="329" t="s">
        <v>2096</v>
      </c>
      <c r="D10" s="1942"/>
    </row>
    <row r="11" spans="1:4" x14ac:dyDescent="0.2">
      <c r="A11" s="1069"/>
      <c r="B11" s="329" t="s">
        <v>2110</v>
      </c>
      <c r="D11" s="1942">
        <v>16110</v>
      </c>
    </row>
    <row r="12" spans="1:4" x14ac:dyDescent="0.2">
      <c r="A12" s="1069"/>
      <c r="B12" s="329" t="s">
        <v>2097</v>
      </c>
      <c r="D12" s="1942">
        <v>24527</v>
      </c>
    </row>
    <row r="13" spans="1:4" x14ac:dyDescent="0.2">
      <c r="A13" s="1069"/>
      <c r="B13" s="329" t="s">
        <v>2099</v>
      </c>
      <c r="D13" s="1942">
        <v>6488</v>
      </c>
    </row>
    <row r="14" spans="1:4" x14ac:dyDescent="0.2">
      <c r="A14" s="1069"/>
      <c r="B14" s="329" t="s">
        <v>2111</v>
      </c>
      <c r="D14" s="1942">
        <v>16043</v>
      </c>
    </row>
    <row r="15" spans="1:4" x14ac:dyDescent="0.2">
      <c r="A15" s="1069"/>
      <c r="B15" s="329" t="s">
        <v>2098</v>
      </c>
      <c r="D15" s="1942">
        <v>17574</v>
      </c>
    </row>
    <row r="16" spans="1:4" x14ac:dyDescent="0.2">
      <c r="A16" s="1069"/>
      <c r="B16" s="329" t="s">
        <v>2100</v>
      </c>
      <c r="D16" s="1941"/>
    </row>
    <row r="17" spans="1:4" x14ac:dyDescent="0.2">
      <c r="A17" s="1069"/>
      <c r="B17" s="329" t="s">
        <v>2101</v>
      </c>
      <c r="D17" s="1942">
        <v>7000</v>
      </c>
    </row>
    <row r="18" spans="1:4" x14ac:dyDescent="0.2">
      <c r="A18" s="1069"/>
      <c r="B18" s="329" t="s">
        <v>2098</v>
      </c>
      <c r="D18" s="1941">
        <v>367</v>
      </c>
    </row>
    <row r="19" spans="1:4" x14ac:dyDescent="0.2">
      <c r="A19" s="1069"/>
      <c r="B19" s="329" t="s">
        <v>2102</v>
      </c>
      <c r="D19" s="1941"/>
    </row>
    <row r="20" spans="1:4" x14ac:dyDescent="0.2">
      <c r="A20" s="1069"/>
      <c r="B20" s="329" t="s">
        <v>2103</v>
      </c>
      <c r="D20" s="1942">
        <v>2520</v>
      </c>
    </row>
    <row r="21" spans="1:4" x14ac:dyDescent="0.2">
      <c r="A21" s="1069"/>
      <c r="B21" s="329" t="s">
        <v>2098</v>
      </c>
      <c r="D21" s="1941">
        <v>635</v>
      </c>
    </row>
    <row r="22" spans="1:4" x14ac:dyDescent="0.2">
      <c r="A22" s="1069"/>
      <c r="D22" s="1942"/>
    </row>
    <row r="23" spans="1:4" x14ac:dyDescent="0.2">
      <c r="A23" s="1069"/>
      <c r="B23" s="329" t="s">
        <v>2106</v>
      </c>
      <c r="D23" s="1942"/>
    </row>
    <row r="24" spans="1:4" x14ac:dyDescent="0.2">
      <c r="A24" s="1069"/>
      <c r="B24" s="329" t="s">
        <v>2096</v>
      </c>
      <c r="D24" s="1942"/>
    </row>
    <row r="25" spans="1:4" x14ac:dyDescent="0.2">
      <c r="A25" s="1069"/>
      <c r="B25" s="329" t="s">
        <v>2107</v>
      </c>
      <c r="D25" s="1942">
        <v>750</v>
      </c>
    </row>
    <row r="26" spans="1:4" x14ac:dyDescent="0.2">
      <c r="A26" s="1069"/>
      <c r="D26" s="1942"/>
    </row>
    <row r="27" spans="1:4" x14ac:dyDescent="0.2">
      <c r="A27" s="1069"/>
      <c r="B27" s="329" t="s">
        <v>2108</v>
      </c>
      <c r="D27" s="1941"/>
    </row>
    <row r="28" spans="1:4" x14ac:dyDescent="0.2">
      <c r="A28" s="1069"/>
      <c r="B28" s="329" t="s">
        <v>2096</v>
      </c>
      <c r="D28" s="1942"/>
    </row>
    <row r="29" spans="1:4" x14ac:dyDescent="0.2">
      <c r="A29" s="1069"/>
      <c r="B29" s="329" t="s">
        <v>2109</v>
      </c>
      <c r="D29" s="1942">
        <v>7578</v>
      </c>
    </row>
    <row r="30" spans="1:4" x14ac:dyDescent="0.2">
      <c r="A30" s="1069"/>
    </row>
    <row r="31" spans="1:4" x14ac:dyDescent="0.2">
      <c r="A31" s="1069"/>
      <c r="B31" s="329" t="s">
        <v>2112</v>
      </c>
      <c r="D31" s="1940"/>
    </row>
    <row r="32" spans="1:4" x14ac:dyDescent="0.2">
      <c r="A32" s="1069"/>
      <c r="B32" s="329" t="s">
        <v>2113</v>
      </c>
    </row>
    <row r="33" spans="1:4" x14ac:dyDescent="0.2">
      <c r="A33" s="1069"/>
      <c r="B33" s="329" t="s">
        <v>2114</v>
      </c>
      <c r="D33" s="1940">
        <v>1000</v>
      </c>
    </row>
    <row r="34" spans="1:4" x14ac:dyDescent="0.2">
      <c r="A34" s="1069"/>
    </row>
    <row r="35" spans="1:4" x14ac:dyDescent="0.2">
      <c r="A35" s="1069"/>
    </row>
    <row r="36" spans="1:4" x14ac:dyDescent="0.2">
      <c r="A36" s="1069"/>
    </row>
    <row r="37" spans="1:4" x14ac:dyDescent="0.2">
      <c r="A37" s="1069"/>
    </row>
    <row r="38" spans="1:4" x14ac:dyDescent="0.2">
      <c r="A38" s="1069"/>
    </row>
    <row r="39" spans="1:4" x14ac:dyDescent="0.2">
      <c r="A39" s="1069"/>
    </row>
    <row r="40" spans="1:4" x14ac:dyDescent="0.2">
      <c r="A40" s="1069"/>
    </row>
    <row r="41" spans="1:4" x14ac:dyDescent="0.2">
      <c r="A41" s="1069"/>
    </row>
    <row r="42" spans="1:4" x14ac:dyDescent="0.2">
      <c r="A42" s="1069"/>
    </row>
    <row r="43" spans="1:4" x14ac:dyDescent="0.2">
      <c r="A43" s="1069"/>
    </row>
    <row r="44" spans="1:4" x14ac:dyDescent="0.2">
      <c r="A44" s="1069"/>
    </row>
    <row r="45" spans="1:4" x14ac:dyDescent="0.2">
      <c r="A45" s="1069"/>
    </row>
    <row r="46" spans="1:4" x14ac:dyDescent="0.2">
      <c r="A46" s="1069"/>
    </row>
    <row r="47" spans="1:4" x14ac:dyDescent="0.2">
      <c r="A47" s="1069"/>
    </row>
    <row r="48" spans="1:4"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Sangamon Valley CUSD 9</v>
      </c>
    </row>
    <row r="66" spans="1:2" x14ac:dyDescent="0.2">
      <c r="B66" s="1070">
        <f>COVER!A13</f>
        <v>39055009026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43" sqref="D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5841955</v>
      </c>
      <c r="C8" s="1815">
        <f>'Acct Summary 7-8'!D8</f>
        <v>501764</v>
      </c>
      <c r="D8" s="1815">
        <f>'Acct Summary 7-8'!F8</f>
        <v>709379</v>
      </c>
      <c r="E8" s="1815">
        <f>'Acct Summary 7-8'!I8</f>
        <v>18787</v>
      </c>
      <c r="F8" s="1815">
        <f>SUM(B8:E8)</f>
        <v>7071885</v>
      </c>
    </row>
    <row r="9" spans="1:8" s="1079" customFormat="1" ht="14.25" customHeight="1" thickBot="1" x14ac:dyDescent="0.25">
      <c r="A9" s="1078" t="s">
        <v>1369</v>
      </c>
      <c r="B9" s="1816">
        <f>'Acct Summary 7-8'!C17</f>
        <v>5889789</v>
      </c>
      <c r="C9" s="1816">
        <f>'Acct Summary 7-8'!D17</f>
        <v>611546</v>
      </c>
      <c r="D9" s="1816">
        <f>'Acct Summary 7-8'!F17</f>
        <v>652037</v>
      </c>
      <c r="E9" s="1815"/>
      <c r="F9" s="1815">
        <f>SUM(B9:E9)</f>
        <v>7153372</v>
      </c>
    </row>
    <row r="10" spans="1:8" s="1079" customFormat="1" ht="14.25" thickTop="1" thickBot="1" x14ac:dyDescent="0.25">
      <c r="A10" s="1080" t="s">
        <v>1370</v>
      </c>
      <c r="B10" s="1817">
        <f>(B8-B9)</f>
        <v>-47834</v>
      </c>
      <c r="C10" s="1817">
        <f>(C8-C9)</f>
        <v>-109782</v>
      </c>
      <c r="D10" s="1817">
        <f>(D8-D9)</f>
        <v>57342</v>
      </c>
      <c r="E10" s="1816">
        <f>(E8-E9)</f>
        <v>18787</v>
      </c>
      <c r="F10" s="1818">
        <f>SUM(F8-F9)</f>
        <v>-81487</v>
      </c>
    </row>
    <row r="11" spans="1:8" s="1079" customFormat="1" ht="14.25" thickTop="1" thickBot="1" x14ac:dyDescent="0.25">
      <c r="A11" s="1081" t="s">
        <v>1983</v>
      </c>
      <c r="B11" s="1819">
        <f>'Acct Summary 7-8'!C81</f>
        <v>445623</v>
      </c>
      <c r="C11" s="1819">
        <f>'Acct Summary 7-8'!D81</f>
        <v>292305</v>
      </c>
      <c r="D11" s="1819">
        <f>'Acct Summary 7-8'!F81</f>
        <v>512493</v>
      </c>
      <c r="E11" s="1819">
        <f>'Acct Summary 7-8'!I81</f>
        <v>1316101</v>
      </c>
      <c r="F11" s="1820">
        <f>SUM(B11:E11)</f>
        <v>2566522</v>
      </c>
    </row>
    <row r="12" spans="1:8" ht="16.5" customHeight="1" thickTop="1" x14ac:dyDescent="0.2">
      <c r="A12" s="1082"/>
      <c r="B12" s="1083"/>
      <c r="C12" s="2343" t="str">
        <f>IF(AND(F10&lt;0,F11&gt;=0,ABS(F10*3)&gt;ABS(F11)),A16,IF(AND(F10&lt;0,F11&gt;0,ABS(F10*3)&lt;=ABS(F11)),A17,IF(AND(F10&lt;0,F11&lt;0),A16,IF(F11=0,A19,A18))))</f>
        <v>Unbalanced -  however, a deficit reduction plan is not required at this time.</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43" sqref="C43:D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39055009026</v>
      </c>
    </row>
    <row r="3" spans="1:2" x14ac:dyDescent="0.2">
      <c r="A3" t="s">
        <v>956</v>
      </c>
      <c r="B3" s="138" t="str">
        <f>COVER!A15</f>
        <v>MACON</v>
      </c>
    </row>
    <row r="4" spans="1:2" x14ac:dyDescent="0.2">
      <c r="A4" t="s">
        <v>1007</v>
      </c>
      <c r="B4" s="138" t="str">
        <f>COVER!A17</f>
        <v>Sangamon Valley CUSD 9</v>
      </c>
    </row>
    <row r="5" spans="1:2" x14ac:dyDescent="0.2">
      <c r="A5" t="s">
        <v>704</v>
      </c>
      <c r="B5" s="138" t="str">
        <f>COVER!A38</f>
        <v>ROBERT D MEADOWS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v>
      </c>
    </row>
    <row r="18" spans="1:2" x14ac:dyDescent="0.2">
      <c r="A18" t="s">
        <v>1150</v>
      </c>
      <c r="B18" s="138" t="str">
        <f>COVER!T17</f>
        <v>910 STATE HWY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445623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445623</v>
      </c>
      <c r="D92" s="2" t="str">
        <f t="shared" si="0"/>
        <v>Error?</v>
      </c>
    </row>
    <row r="93" spans="1:4" x14ac:dyDescent="0.2">
      <c r="A93" s="5">
        <v>32</v>
      </c>
      <c r="B93" s="138">
        <f>'Assets-Liab 5-6'!C41</f>
        <v>445623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292305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292305</v>
      </c>
      <c r="D123" s="2" t="str">
        <f t="shared" si="0"/>
        <v>Error?</v>
      </c>
    </row>
    <row r="124" spans="1:4" x14ac:dyDescent="0.2">
      <c r="A124" s="5">
        <v>63</v>
      </c>
      <c r="B124" s="138">
        <f>'Assets-Liab 5-6'!D41</f>
        <v>292305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42993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42993</v>
      </c>
      <c r="D140" s="2" t="str">
        <f t="shared" si="1"/>
        <v>Error?</v>
      </c>
    </row>
    <row r="141" spans="1:4" x14ac:dyDescent="0.2">
      <c r="A141" s="5">
        <v>80</v>
      </c>
      <c r="B141" s="138">
        <f>'Assets-Liab 5-6'!E41</f>
        <v>42993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512493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512493</v>
      </c>
      <c r="D170" s="2" t="str">
        <f t="shared" si="1"/>
        <v>Error?</v>
      </c>
    </row>
    <row r="171" spans="1:4" x14ac:dyDescent="0.2">
      <c r="A171" s="5">
        <v>110</v>
      </c>
      <c r="B171" s="138">
        <f>'Assets-Liab 5-6'!F41</f>
        <v>512493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274641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274641</v>
      </c>
      <c r="D189" s="2" t="str">
        <f t="shared" si="1"/>
        <v>Error?</v>
      </c>
    </row>
    <row r="190" spans="1:4" x14ac:dyDescent="0.2">
      <c r="A190" s="5">
        <v>129</v>
      </c>
      <c r="B190" s="138">
        <f>'Assets-Liab 5-6'!G41</f>
        <v>274641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75495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75495</v>
      </c>
      <c r="D212" s="2" t="str">
        <f t="shared" si="2"/>
        <v>Error?</v>
      </c>
    </row>
    <row r="213" spans="1:4" x14ac:dyDescent="0.2">
      <c r="A213" s="12">
        <v>152</v>
      </c>
      <c r="B213" s="138">
        <f>'Assets-Liab 5-6'!H41</f>
        <v>75495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56972</v>
      </c>
      <c r="D273" s="2" t="str">
        <f t="shared" si="3"/>
        <v>Error?</v>
      </c>
    </row>
    <row r="274" spans="1:4" x14ac:dyDescent="0.2">
      <c r="A274" s="5">
        <v>213</v>
      </c>
      <c r="B274" s="138">
        <f>'Assets-Liab 5-6'!M17</f>
        <v>7155590</v>
      </c>
      <c r="D274" s="2" t="str">
        <f t="shared" si="3"/>
        <v>Error?</v>
      </c>
    </row>
    <row r="275" spans="1:4" x14ac:dyDescent="0.2">
      <c r="A275" s="5">
        <v>214</v>
      </c>
      <c r="B275" s="138">
        <f>'Assets-Liab 5-6'!M18</f>
        <v>0</v>
      </c>
      <c r="D275" s="2" t="str">
        <f t="shared" si="3"/>
        <v>Error?</v>
      </c>
    </row>
    <row r="276" spans="1:4" x14ac:dyDescent="0.2">
      <c r="A276" s="5">
        <v>215</v>
      </c>
      <c r="B276" s="138">
        <f>'Assets-Liab 5-6'!M19</f>
        <v>4023716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11256201</v>
      </c>
      <c r="C279" s="2" t="s">
        <v>573</v>
      </c>
      <c r="D279" s="2" t="str">
        <f t="shared" si="3"/>
        <v>Error?</v>
      </c>
    </row>
    <row r="280" spans="1:4" x14ac:dyDescent="0.2">
      <c r="A280" s="5">
        <v>219</v>
      </c>
      <c r="B280" s="138">
        <f>'Assets-Liab 5-6'!M40</f>
        <v>11256201</v>
      </c>
      <c r="D280" s="2" t="str">
        <f t="shared" si="3"/>
        <v>Error?</v>
      </c>
    </row>
    <row r="281" spans="1:4" x14ac:dyDescent="0.2">
      <c r="A281" s="5">
        <v>220</v>
      </c>
      <c r="B281" s="138">
        <f>'Assets-Liab 5-6'!M41</f>
        <v>11256201</v>
      </c>
      <c r="C281" s="2" t="s">
        <v>573</v>
      </c>
      <c r="D281" s="2" t="str">
        <f t="shared" si="3"/>
        <v>Error?</v>
      </c>
    </row>
    <row r="282" spans="1:4" x14ac:dyDescent="0.2">
      <c r="A282" s="5">
        <v>221</v>
      </c>
      <c r="B282" s="138">
        <f>'Assets-Liab 5-6'!N21</f>
        <v>42993</v>
      </c>
      <c r="D282" s="2" t="str">
        <f t="shared" si="3"/>
        <v>Error?</v>
      </c>
    </row>
    <row r="283" spans="1:4" x14ac:dyDescent="0.2">
      <c r="A283" s="5">
        <v>222</v>
      </c>
      <c r="B283" s="138">
        <f>'Assets-Liab 5-6'!N22</f>
        <v>485712</v>
      </c>
      <c r="D283" s="2" t="str">
        <f t="shared" si="3"/>
        <v>Error?</v>
      </c>
    </row>
    <row r="284" spans="1:4" x14ac:dyDescent="0.2">
      <c r="A284" s="5">
        <v>223</v>
      </c>
      <c r="B284" s="138">
        <f>'Assets-Liab 5-6'!N23</f>
        <v>528705</v>
      </c>
      <c r="C284" s="2" t="s">
        <v>573</v>
      </c>
      <c r="D284" s="2" t="str">
        <f t="shared" si="3"/>
        <v>Error?</v>
      </c>
    </row>
    <row r="285" spans="1:4" x14ac:dyDescent="0.2">
      <c r="A285" s="5">
        <v>224</v>
      </c>
      <c r="B285" s="138">
        <f>'Assets-Liab 5-6'!N36</f>
        <v>528705</v>
      </c>
      <c r="D285" s="2" t="str">
        <f t="shared" si="3"/>
        <v>Error?</v>
      </c>
    </row>
    <row r="286" spans="1:4" x14ac:dyDescent="0.2">
      <c r="A286" s="10">
        <v>225</v>
      </c>
      <c r="D286" s="2" t="str">
        <f t="shared" si="3"/>
        <v>OK</v>
      </c>
    </row>
    <row r="287" spans="1:4" x14ac:dyDescent="0.2">
      <c r="A287" s="5">
        <v>226</v>
      </c>
      <c r="B287" s="138">
        <f>'Assets-Liab 5-6'!N37</f>
        <v>528705</v>
      </c>
      <c r="C287" s="2" t="s">
        <v>573</v>
      </c>
      <c r="D287" s="2" t="str">
        <f t="shared" si="3"/>
        <v>Error?</v>
      </c>
    </row>
    <row r="288" spans="1:4" x14ac:dyDescent="0.2">
      <c r="A288" s="5">
        <v>227</v>
      </c>
      <c r="B288" s="138">
        <f>'Assets-Liab 5-6'!N41</f>
        <v>528705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2361475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95349</v>
      </c>
      <c r="D717" s="2" t="str">
        <f t="shared" si="10"/>
        <v>Error?</v>
      </c>
    </row>
    <row r="718" spans="1:4" x14ac:dyDescent="0.2">
      <c r="A718" s="5">
        <v>657</v>
      </c>
      <c r="B718" s="138">
        <f>'Expenditures 15-22'!C14</f>
        <v>77562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2972094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74770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22320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97090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55553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55553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115479</v>
      </c>
      <c r="D733" s="2" t="str">
        <f t="shared" si="10"/>
        <v>Error?</v>
      </c>
    </row>
    <row r="734" spans="1:4" x14ac:dyDescent="0.2">
      <c r="A734" s="5">
        <v>673</v>
      </c>
      <c r="B734" s="138">
        <f>'Expenditures 15-22'!C53</f>
        <v>115479</v>
      </c>
      <c r="C734" s="2" t="s">
        <v>573</v>
      </c>
      <c r="D734" s="2" t="str">
        <f t="shared" si="10"/>
        <v>Error?</v>
      </c>
    </row>
    <row r="735" spans="1:4" x14ac:dyDescent="0.2">
      <c r="A735" s="5">
        <v>674</v>
      </c>
      <c r="B735" s="138">
        <f>'Expenditures 15-22'!C55</f>
        <v>321190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321190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44388</v>
      </c>
      <c r="D739" s="2" t="str">
        <f t="shared" si="10"/>
        <v>Error?</v>
      </c>
    </row>
    <row r="740" spans="1:4" x14ac:dyDescent="0.2">
      <c r="A740" s="5">
        <v>679</v>
      </c>
      <c r="B740" s="138">
        <f>'Expenditures 15-22'!C61</f>
        <v>11520</v>
      </c>
      <c r="D740" s="2" t="str">
        <f t="shared" si="10"/>
        <v>Error?</v>
      </c>
    </row>
    <row r="741" spans="1:4" x14ac:dyDescent="0.2">
      <c r="A741" s="5">
        <v>680</v>
      </c>
      <c r="B741" s="138">
        <f>'Expenditures 15-22'!C62</f>
        <v>4475</v>
      </c>
      <c r="D741" s="2" t="str">
        <f t="shared" si="10"/>
        <v>Error?</v>
      </c>
    </row>
    <row r="742" spans="1:4" x14ac:dyDescent="0.2">
      <c r="A742" s="5">
        <v>681</v>
      </c>
      <c r="B742" s="138">
        <f>'Expenditures 15-22'!C63</f>
        <v>143481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203864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793176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3765270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596501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24868</v>
      </c>
      <c r="D775" s="2" t="str">
        <f t="shared" si="11"/>
        <v>Error?</v>
      </c>
    </row>
    <row r="776" spans="1:4" x14ac:dyDescent="0.2">
      <c r="A776" s="5">
        <v>715</v>
      </c>
      <c r="B776" s="138">
        <f>'Expenditures 15-22'!D14</f>
        <v>6124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740589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8624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8624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7222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7222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20301</v>
      </c>
      <c r="D791" s="2" t="str">
        <f t="shared" si="11"/>
        <v>Error?</v>
      </c>
    </row>
    <row r="792" spans="1:4" x14ac:dyDescent="0.2">
      <c r="A792" s="5">
        <v>731</v>
      </c>
      <c r="B792" s="138">
        <f>'Expenditures 15-22'!D53</f>
        <v>20301</v>
      </c>
      <c r="C792" s="2" t="s">
        <v>573</v>
      </c>
      <c r="D792" s="2" t="str">
        <f t="shared" si="11"/>
        <v>Error?</v>
      </c>
    </row>
    <row r="793" spans="1:4" x14ac:dyDescent="0.2">
      <c r="A793" s="5">
        <v>732</v>
      </c>
      <c r="B793" s="138">
        <f>'Expenditures 15-22'!D55</f>
        <v>65742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65742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6936</v>
      </c>
      <c r="D797" s="2" t="str">
        <f t="shared" si="11"/>
        <v>Error?</v>
      </c>
    </row>
    <row r="798" spans="1:4" x14ac:dyDescent="0.2">
      <c r="A798" s="5">
        <v>737</v>
      </c>
      <c r="B798" s="138">
        <f>'Expenditures 15-22'!D61</f>
        <v>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10979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17927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119816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860405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21505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28309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22089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4033</v>
      </c>
      <c r="D842" s="2" t="str">
        <f t="shared" si="12"/>
        <v>Error?</v>
      </c>
    </row>
    <row r="843" spans="1:4" x14ac:dyDescent="0.2">
      <c r="A843" s="5">
        <v>782</v>
      </c>
      <c r="B843" s="138">
        <f>'Expenditures 15-22'!E42</f>
        <v>26122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39766</v>
      </c>
      <c r="D848" s="2" t="str">
        <f t="shared" si="12"/>
        <v>Error?</v>
      </c>
    </row>
    <row r="849" spans="1:4" x14ac:dyDescent="0.2">
      <c r="A849" s="5">
        <v>788</v>
      </c>
      <c r="B849" s="138">
        <f>'Expenditures 15-22'!E50</f>
        <v>469</v>
      </c>
      <c r="D849" s="2" t="str">
        <f t="shared" si="12"/>
        <v>Error?</v>
      </c>
    </row>
    <row r="850" spans="1:4" x14ac:dyDescent="0.2">
      <c r="A850" s="5">
        <v>789</v>
      </c>
      <c r="B850" s="138">
        <f>'Expenditures 15-22'!E53</f>
        <v>40235</v>
      </c>
      <c r="C850" s="2" t="s">
        <v>573</v>
      </c>
      <c r="D850" s="2" t="str">
        <f t="shared" si="12"/>
        <v>Error?</v>
      </c>
    </row>
    <row r="851" spans="1:4" x14ac:dyDescent="0.2">
      <c r="A851" s="5">
        <v>790</v>
      </c>
      <c r="B851" s="138">
        <f>'Expenditures 15-22'!E55</f>
        <v>7933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7933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95806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95806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170096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198405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208368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10876</v>
      </c>
      <c r="D891" s="2" t="str">
        <f t="shared" si="12"/>
        <v>Error?</v>
      </c>
    </row>
    <row r="892" spans="1:4" x14ac:dyDescent="0.2">
      <c r="A892" s="5">
        <v>831</v>
      </c>
      <c r="B892" s="138">
        <f>'Expenditures 15-22'!F14</f>
        <v>9807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234036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133</v>
      </c>
      <c r="D896" s="2" t="str">
        <f t="shared" si="13"/>
        <v>Error?</v>
      </c>
    </row>
    <row r="897" spans="1:4" x14ac:dyDescent="0.2">
      <c r="A897" s="5">
        <v>836</v>
      </c>
      <c r="B897" s="138">
        <f>'Expenditures 15-22'!F38</f>
        <v>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10134</v>
      </c>
      <c r="D900" s="2" t="str">
        <f t="shared" si="13"/>
        <v>Error?</v>
      </c>
    </row>
    <row r="901" spans="1:4" x14ac:dyDescent="0.2">
      <c r="A901" s="5">
        <v>840</v>
      </c>
      <c r="B901" s="138">
        <f>'Expenditures 15-22'!F42</f>
        <v>10361</v>
      </c>
      <c r="C901" s="2" t="s">
        <v>573</v>
      </c>
      <c r="D901" s="2" t="str">
        <f t="shared" si="13"/>
        <v>Error?</v>
      </c>
    </row>
    <row r="902" spans="1:4" x14ac:dyDescent="0.2">
      <c r="A902" s="5">
        <v>841</v>
      </c>
      <c r="B902" s="138">
        <f>'Expenditures 15-22'!F44</f>
        <v>32392</v>
      </c>
      <c r="D902" s="2" t="str">
        <f t="shared" si="13"/>
        <v>Error?</v>
      </c>
    </row>
    <row r="903" spans="1:4" x14ac:dyDescent="0.2">
      <c r="A903" s="5">
        <v>842</v>
      </c>
      <c r="B903" s="138">
        <f>'Expenditures 15-22'!F45</f>
        <v>5512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37904</v>
      </c>
      <c r="C905" s="2" t="s">
        <v>573</v>
      </c>
      <c r="D905" s="2" t="str">
        <f t="shared" si="13"/>
        <v>Error?</v>
      </c>
    </row>
    <row r="906" spans="1:4" x14ac:dyDescent="0.2">
      <c r="A906" s="5">
        <v>845</v>
      </c>
      <c r="B906" s="138">
        <f>'Expenditures 15-22'!F49</f>
        <v>5672</v>
      </c>
      <c r="D906" s="2" t="str">
        <f t="shared" si="13"/>
        <v>Error?</v>
      </c>
    </row>
    <row r="907" spans="1:4" x14ac:dyDescent="0.2">
      <c r="A907" s="5">
        <v>846</v>
      </c>
      <c r="B907" s="138">
        <f>'Expenditures 15-22'!F50</f>
        <v>218</v>
      </c>
      <c r="D907" s="2" t="str">
        <f t="shared" si="13"/>
        <v>Error?</v>
      </c>
    </row>
    <row r="908" spans="1:4" x14ac:dyDescent="0.2">
      <c r="A908" s="5">
        <v>847</v>
      </c>
      <c r="B908" s="138">
        <f>'Expenditures 15-22'!F53</f>
        <v>5890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3459</v>
      </c>
      <c r="D913" s="2" t="str">
        <f t="shared" si="13"/>
        <v>Error?</v>
      </c>
    </row>
    <row r="914" spans="1:4" x14ac:dyDescent="0.2">
      <c r="A914" s="5">
        <v>853</v>
      </c>
      <c r="B914" s="138">
        <f>'Expenditures 15-22'!F61</f>
        <v>19823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177878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201160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255315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489351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16106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24926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1925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1925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1925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26851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74925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8087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83012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1500</v>
      </c>
      <c r="D1016" s="2" t="str">
        <f t="shared" si="14"/>
        <v>Error?</v>
      </c>
    </row>
    <row r="1017" spans="1:4" x14ac:dyDescent="0.2">
      <c r="A1017" s="5">
        <v>956</v>
      </c>
      <c r="B1017" s="138">
        <f>'Expenditures 15-22'!H42</f>
        <v>1500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464995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549507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3258459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131093</v>
      </c>
      <c r="C1105" s="2" t="s">
        <v>573</v>
      </c>
      <c r="D1105" s="2" t="str">
        <f t="shared" si="16"/>
        <v>Error?</v>
      </c>
    </row>
    <row r="1106" spans="1:4" x14ac:dyDescent="0.2">
      <c r="A1106" s="5">
        <v>1045</v>
      </c>
      <c r="B1106" s="138">
        <f>'Expenditures 15-22'!K14</f>
        <v>123085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4082966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83527</v>
      </c>
      <c r="C1110" s="2" t="s">
        <v>573</v>
      </c>
      <c r="D1110" s="2" t="str">
        <f t="shared" si="16"/>
        <v>Error?</v>
      </c>
    </row>
    <row r="1111" spans="1:4" x14ac:dyDescent="0.2">
      <c r="A1111" s="5">
        <v>1050</v>
      </c>
      <c r="B1111" s="138">
        <f>'Expenditures 15-22'!K38</f>
        <v>22183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22320</v>
      </c>
      <c r="C1113" s="2" t="s">
        <v>573</v>
      </c>
      <c r="D1113" s="2" t="str">
        <f t="shared" si="16"/>
        <v>Error?</v>
      </c>
    </row>
    <row r="1114" spans="1:4" x14ac:dyDescent="0.2">
      <c r="A1114" s="5">
        <v>1053</v>
      </c>
      <c r="B1114" s="138">
        <f>'Expenditures 15-22'!K41</f>
        <v>15667</v>
      </c>
      <c r="C1114" s="2" t="s">
        <v>573</v>
      </c>
      <c r="D1114" s="2" t="str">
        <f t="shared" si="16"/>
        <v>Error?</v>
      </c>
    </row>
    <row r="1115" spans="1:4" x14ac:dyDescent="0.2">
      <c r="A1115" s="5">
        <v>1054</v>
      </c>
      <c r="B1115" s="138">
        <f>'Expenditures 15-22'!K42</f>
        <v>143697</v>
      </c>
      <c r="C1115" s="2" t="s">
        <v>573</v>
      </c>
      <c r="D1115" s="2" t="str">
        <f t="shared" si="16"/>
        <v>Error?</v>
      </c>
    </row>
    <row r="1116" spans="1:4" x14ac:dyDescent="0.2">
      <c r="A1116" s="5">
        <v>1055</v>
      </c>
      <c r="B1116" s="138">
        <f>'Expenditures 15-22'!K44</f>
        <v>32392</v>
      </c>
      <c r="C1116" s="2" t="s">
        <v>573</v>
      </c>
      <c r="D1116" s="2" t="str">
        <f t="shared" si="16"/>
        <v>Error?</v>
      </c>
    </row>
    <row r="1117" spans="1:4" x14ac:dyDescent="0.2">
      <c r="A1117" s="5">
        <v>1056</v>
      </c>
      <c r="B1117" s="138">
        <f>'Expenditures 15-22'!K45</f>
        <v>68287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100679</v>
      </c>
      <c r="C1119" s="2" t="s">
        <v>573</v>
      </c>
      <c r="D1119" s="2" t="str">
        <f t="shared" si="16"/>
        <v>Error?</v>
      </c>
    </row>
    <row r="1120" spans="1:4" x14ac:dyDescent="0.2">
      <c r="A1120" s="5">
        <v>1059</v>
      </c>
      <c r="B1120" s="138">
        <f>'Expenditures 15-22'!K49</f>
        <v>45438</v>
      </c>
      <c r="C1120" s="2" t="s">
        <v>573</v>
      </c>
      <c r="D1120" s="2" t="str">
        <f t="shared" si="16"/>
        <v>Error?</v>
      </c>
    </row>
    <row r="1121" spans="1:4" x14ac:dyDescent="0.2">
      <c r="A1121" s="5">
        <v>1060</v>
      </c>
      <c r="B1121" s="138">
        <f>'Expenditures 15-22'!K50</f>
        <v>136467</v>
      </c>
      <c r="C1121" s="2" t="s">
        <v>573</v>
      </c>
      <c r="D1121" s="2" t="str">
        <f t="shared" si="16"/>
        <v>Error?</v>
      </c>
    </row>
    <row r="1122" spans="1:4" x14ac:dyDescent="0.2">
      <c r="A1122" s="5">
        <v>1061</v>
      </c>
      <c r="B1122" s="138">
        <f>'Expenditures 15-22'!K53</f>
        <v>181905</v>
      </c>
      <c r="C1122" s="2" t="s">
        <v>573</v>
      </c>
      <c r="D1122" s="2" t="str">
        <f t="shared" si="16"/>
        <v>Error?</v>
      </c>
    </row>
    <row r="1123" spans="1:4" x14ac:dyDescent="0.2">
      <c r="A1123" s="5">
        <v>1062</v>
      </c>
      <c r="B1123" s="138">
        <f>'Expenditures 15-22'!K55</f>
        <v>394865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394865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54783</v>
      </c>
      <c r="C1127" s="2" t="s">
        <v>573</v>
      </c>
      <c r="D1127" s="2" t="str">
        <f t="shared" si="16"/>
        <v>Error?</v>
      </c>
    </row>
    <row r="1128" spans="1:4" x14ac:dyDescent="0.2">
      <c r="A1128" s="5">
        <v>1067</v>
      </c>
      <c r="B1128" s="138">
        <f>'Expenditures 15-22'!K61</f>
        <v>127161</v>
      </c>
      <c r="C1128" s="2" t="s">
        <v>573</v>
      </c>
      <c r="D1128" s="2" t="str">
        <f t="shared" si="16"/>
        <v>Error?</v>
      </c>
    </row>
    <row r="1129" spans="1:4" x14ac:dyDescent="0.2">
      <c r="A1129" s="5">
        <v>1068</v>
      </c>
      <c r="B1129" s="138">
        <f>'Expenditures 15-22'!K62</f>
        <v>4475</v>
      </c>
      <c r="C1129" s="2" t="s">
        <v>573</v>
      </c>
      <c r="D1129" s="2" t="str">
        <f t="shared" si="16"/>
        <v>Error?</v>
      </c>
    </row>
    <row r="1130" spans="1:4" x14ac:dyDescent="0.2">
      <c r="A1130" s="5">
        <v>1069</v>
      </c>
      <c r="B1130" s="138">
        <f>'Expenditures 15-22'!K63</f>
        <v>334263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520682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1341828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464995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5889789</v>
      </c>
      <c r="C1152" s="2" t="s">
        <v>573</v>
      </c>
      <c r="D1152" s="2" t="str">
        <f t="shared" si="17"/>
        <v>Error?</v>
      </c>
    </row>
    <row r="1153" spans="1:4" x14ac:dyDescent="0.2">
      <c r="A1153" s="5">
        <v>1092</v>
      </c>
      <c r="B1153" s="138">
        <f>'Expenditures 15-22'!K115</f>
        <v>-47834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289761</v>
      </c>
      <c r="D1221" s="2" t="str">
        <f t="shared" si="18"/>
        <v>Error?</v>
      </c>
    </row>
    <row r="1222" spans="1:4" x14ac:dyDescent="0.2">
      <c r="A1222" s="10">
        <v>1161</v>
      </c>
      <c r="D1222" s="2" t="str">
        <f t="shared" si="18"/>
        <v>OK</v>
      </c>
    </row>
    <row r="1223" spans="1:4" x14ac:dyDescent="0.2">
      <c r="A1223" s="5">
        <v>1162</v>
      </c>
      <c r="B1223" s="138">
        <f>'Expenditures 15-22'!C127</f>
        <v>289761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289761</v>
      </c>
      <c r="C1225" s="2" t="s">
        <v>573</v>
      </c>
      <c r="D1225" s="2" t="str">
        <f t="shared" si="18"/>
        <v>Error?</v>
      </c>
    </row>
    <row r="1226" spans="1:4" x14ac:dyDescent="0.2">
      <c r="A1226" s="5">
        <v>1165</v>
      </c>
      <c r="B1226" s="138">
        <f>'Expenditures 15-22'!C151</f>
        <v>289761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51713</v>
      </c>
      <c r="D1229" s="2" t="str">
        <f t="shared" si="18"/>
        <v>Error?</v>
      </c>
    </row>
    <row r="1230" spans="1:4" x14ac:dyDescent="0.2">
      <c r="A1230" s="10">
        <v>1169</v>
      </c>
      <c r="D1230" s="2" t="str">
        <f t="shared" si="18"/>
        <v>OK</v>
      </c>
    </row>
    <row r="1231" spans="1:4" x14ac:dyDescent="0.2">
      <c r="A1231" s="5">
        <v>1170</v>
      </c>
      <c r="B1231" s="138">
        <f>'Expenditures 15-22'!D127</f>
        <v>51713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51713</v>
      </c>
      <c r="C1233" s="2" t="s">
        <v>573</v>
      </c>
      <c r="D1233" s="2" t="str">
        <f t="shared" si="18"/>
        <v>Error?</v>
      </c>
    </row>
    <row r="1234" spans="1:4" x14ac:dyDescent="0.2">
      <c r="A1234" s="5">
        <v>1173</v>
      </c>
      <c r="B1234" s="138">
        <f>'Expenditures 15-22'!D151</f>
        <v>51713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167262</v>
      </c>
      <c r="D1237" s="2" t="str">
        <f t="shared" si="18"/>
        <v>Error?</v>
      </c>
    </row>
    <row r="1238" spans="1:4" x14ac:dyDescent="0.2">
      <c r="A1238" s="10">
        <v>1177</v>
      </c>
      <c r="D1238" s="2" t="str">
        <f t="shared" si="18"/>
        <v>OK</v>
      </c>
    </row>
    <row r="1239" spans="1:4" x14ac:dyDescent="0.2">
      <c r="A1239" s="5">
        <v>1178</v>
      </c>
      <c r="B1239" s="138">
        <f>'Expenditures 15-22'!E127</f>
        <v>167262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167262</v>
      </c>
      <c r="C1241" s="2" t="s">
        <v>573</v>
      </c>
      <c r="D1241" s="2" t="str">
        <f t="shared" si="18"/>
        <v>Error?</v>
      </c>
    </row>
    <row r="1242" spans="1:4" x14ac:dyDescent="0.2">
      <c r="A1242" s="5">
        <v>1181</v>
      </c>
      <c r="B1242" s="138">
        <f>'Expenditures 15-22'!E151</f>
        <v>167262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67637</v>
      </c>
      <c r="D1245" s="2" t="str">
        <f t="shared" si="18"/>
        <v>Error?</v>
      </c>
    </row>
    <row r="1246" spans="1:4" x14ac:dyDescent="0.2">
      <c r="A1246" s="10">
        <v>1185</v>
      </c>
      <c r="D1246" s="2" t="str">
        <f t="shared" si="18"/>
        <v>OK</v>
      </c>
    </row>
    <row r="1247" spans="1:4" x14ac:dyDescent="0.2">
      <c r="A1247" s="5">
        <v>1186</v>
      </c>
      <c r="B1247" s="138">
        <f>'Expenditures 15-22'!F127</f>
        <v>67637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67637</v>
      </c>
      <c r="C1249" s="2" t="s">
        <v>573</v>
      </c>
      <c r="D1249" s="2" t="str">
        <f t="shared" si="18"/>
        <v>Error?</v>
      </c>
    </row>
    <row r="1250" spans="1:4" x14ac:dyDescent="0.2">
      <c r="A1250" s="5">
        <v>1189</v>
      </c>
      <c r="B1250" s="138">
        <f>'Expenditures 15-22'!F151</f>
        <v>67637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35173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35173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35173</v>
      </c>
      <c r="C1258" s="2" t="s">
        <v>573</v>
      </c>
      <c r="D1258" s="2" t="str">
        <f t="shared" si="18"/>
        <v>Error?</v>
      </c>
    </row>
    <row r="1259" spans="1:4" x14ac:dyDescent="0.2">
      <c r="A1259" s="5">
        <v>1198</v>
      </c>
      <c r="B1259" s="138">
        <f>'Expenditures 15-22'!G151</f>
        <v>35173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611546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611546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611546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611546</v>
      </c>
      <c r="C1288" s="2" t="s">
        <v>573</v>
      </c>
      <c r="D1288" s="2" t="str">
        <f t="shared" si="19"/>
        <v>Error?</v>
      </c>
    </row>
    <row r="1289" spans="1:4" x14ac:dyDescent="0.2">
      <c r="A1289" s="5">
        <v>1228</v>
      </c>
      <c r="B1289" s="138">
        <f>'Expenditures 15-22'!K152</f>
        <v>-109782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24427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249144</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274571</v>
      </c>
      <c r="C1317" s="2" t="s">
        <v>573</v>
      </c>
      <c r="D1317" s="2" t="str">
        <f t="shared" si="19"/>
        <v>Error?</v>
      </c>
    </row>
    <row r="1318" spans="1:4" x14ac:dyDescent="0.2">
      <c r="A1318" s="5">
        <v>1257</v>
      </c>
      <c r="B1318" s="138">
        <f>'Expenditures 15-22'!H174</f>
        <v>274571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24427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249144</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274571</v>
      </c>
      <c r="C1331" s="2" t="s">
        <v>573</v>
      </c>
      <c r="D1331" s="2" t="str">
        <f t="shared" si="19"/>
        <v>Error?</v>
      </c>
    </row>
    <row r="1332" spans="1:4" x14ac:dyDescent="0.2">
      <c r="A1332" s="5">
        <v>1271</v>
      </c>
      <c r="B1332" s="138">
        <f>'Expenditures 15-22'!K174</f>
        <v>274571</v>
      </c>
      <c r="C1332" s="2" t="s">
        <v>573</v>
      </c>
      <c r="D1332" s="2" t="str">
        <f t="shared" si="19"/>
        <v>Error?</v>
      </c>
    </row>
    <row r="1333" spans="1:4" x14ac:dyDescent="0.2">
      <c r="A1333" s="5">
        <v>1272</v>
      </c>
      <c r="B1333" s="138">
        <f>'Expenditures 15-22'!K175</f>
        <v>-3570</v>
      </c>
      <c r="C1333" s="2" t="s">
        <v>573</v>
      </c>
      <c r="D1333" s="2" t="str">
        <f t="shared" si="19"/>
        <v>Error?</v>
      </c>
    </row>
    <row r="1334" spans="1:4" x14ac:dyDescent="0.2">
      <c r="A1334" s="10">
        <v>1273</v>
      </c>
      <c r="D1334" s="2" t="str">
        <f t="shared" si="19"/>
        <v>OK</v>
      </c>
    </row>
    <row r="1335" spans="1:4" x14ac:dyDescent="0.2">
      <c r="A1335" s="5">
        <v>1274</v>
      </c>
      <c r="B1335" s="138">
        <f>'Expenditures 15-22'!C182</f>
        <v>356860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356860</v>
      </c>
      <c r="C1339" s="2" t="s">
        <v>573</v>
      </c>
      <c r="D1339" s="2" t="str">
        <f t="shared" si="19"/>
        <v>Error?</v>
      </c>
    </row>
    <row r="1340" spans="1:4" x14ac:dyDescent="0.2">
      <c r="A1340" s="5">
        <v>1279</v>
      </c>
      <c r="B1340" s="138">
        <f>'Expenditures 15-22'!C210</f>
        <v>356860</v>
      </c>
      <c r="C1340" s="2" t="s">
        <v>573</v>
      </c>
      <c r="D1340" s="2" t="str">
        <f t="shared" si="19"/>
        <v>Error?</v>
      </c>
    </row>
    <row r="1341" spans="1:4" x14ac:dyDescent="0.2">
      <c r="A1341" s="5">
        <v>1280</v>
      </c>
      <c r="B1341" s="138">
        <f>'Expenditures 15-22'!D182</f>
        <v>9121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9121</v>
      </c>
      <c r="C1345" s="2" t="s">
        <v>573</v>
      </c>
      <c r="D1345" s="2" t="str">
        <f t="shared" si="20"/>
        <v>Error?</v>
      </c>
    </row>
    <row r="1346" spans="1:4" x14ac:dyDescent="0.2">
      <c r="A1346" s="5">
        <v>1285</v>
      </c>
      <c r="B1346" s="138">
        <f>'Expenditures 15-22'!D210</f>
        <v>9121</v>
      </c>
      <c r="C1346" s="2" t="s">
        <v>573</v>
      </c>
      <c r="D1346" s="2" t="str">
        <f t="shared" si="20"/>
        <v>Error?</v>
      </c>
    </row>
    <row r="1347" spans="1:4" x14ac:dyDescent="0.2">
      <c r="A1347" s="5">
        <v>1286</v>
      </c>
      <c r="B1347" s="138">
        <f>'Expenditures 15-22'!E182</f>
        <v>29499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29499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29499</v>
      </c>
      <c r="C1353" s="2" t="s">
        <v>573</v>
      </c>
      <c r="D1353" s="2" t="str">
        <f t="shared" si="20"/>
        <v>Error?</v>
      </c>
    </row>
    <row r="1354" spans="1:4" x14ac:dyDescent="0.2">
      <c r="A1354" s="5">
        <v>1293</v>
      </c>
      <c r="B1354" s="138">
        <f>'Expenditures 15-22'!F182</f>
        <v>87427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87427</v>
      </c>
      <c r="C1358" s="2" t="s">
        <v>573</v>
      </c>
      <c r="D1358" s="2" t="str">
        <f t="shared" si="20"/>
        <v>Error?</v>
      </c>
    </row>
    <row r="1359" spans="1:4" x14ac:dyDescent="0.2">
      <c r="A1359" s="5">
        <v>1298</v>
      </c>
      <c r="B1359" s="138">
        <f>'Expenditures 15-22'!F210</f>
        <v>87427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65</v>
      </c>
      <c r="C1376" s="2" t="s">
        <v>573</v>
      </c>
      <c r="D1376" s="2" t="str">
        <f t="shared" si="20"/>
        <v>Error?</v>
      </c>
    </row>
    <row r="1377" spans="1:4" x14ac:dyDescent="0.2">
      <c r="A1377" s="5">
        <v>1316</v>
      </c>
      <c r="B1377" s="138">
        <f>'Expenditures 15-22'!K182</f>
        <v>652037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652037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652037</v>
      </c>
      <c r="C1388" s="2" t="s">
        <v>573</v>
      </c>
      <c r="D1388" s="2" t="str">
        <f t="shared" si="20"/>
        <v>Error?</v>
      </c>
    </row>
    <row r="1389" spans="1:4" x14ac:dyDescent="0.2">
      <c r="A1389" s="5">
        <v>1328</v>
      </c>
      <c r="B1389" s="138">
        <f>'Expenditures 15-22'!K211</f>
        <v>57342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480</v>
      </c>
      <c r="D1406" s="2" t="str">
        <f t="shared" si="20"/>
        <v>Error?</v>
      </c>
    </row>
    <row r="1407" spans="1:4" x14ac:dyDescent="0.2">
      <c r="A1407" s="5">
        <v>1346</v>
      </c>
      <c r="B1407" s="138">
        <f>'Expenditures 15-22'!D222</f>
        <v>1346</v>
      </c>
      <c r="D1407" s="2" t="str">
        <f t="shared" ref="D1407:D1470" si="21">IF(ISBLANK(B1407),"OK",IF(A1407-B1407=0,"OK","Error?"))</f>
        <v>OK</v>
      </c>
    </row>
    <row r="1408" spans="1:4" x14ac:dyDescent="0.2">
      <c r="A1408" s="5">
        <v>1347</v>
      </c>
      <c r="B1408" s="138">
        <f>'Expenditures 15-22'!D223</f>
        <v>2977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51538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1084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1084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7939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7939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1674</v>
      </c>
      <c r="D1423" s="2" t="str">
        <f t="shared" si="21"/>
        <v>Error?</v>
      </c>
    </row>
    <row r="1424" spans="1:4" x14ac:dyDescent="0.2">
      <c r="A1424" s="5">
        <v>1363</v>
      </c>
      <c r="B1424" s="138">
        <f>'Expenditures 15-22'!D257</f>
        <v>1674</v>
      </c>
      <c r="C1424" s="2" t="s">
        <v>573</v>
      </c>
      <c r="D1424" s="2" t="str">
        <f t="shared" si="21"/>
        <v>Error?</v>
      </c>
    </row>
    <row r="1425" spans="1:4" x14ac:dyDescent="0.2">
      <c r="A1425" s="5">
        <v>1364</v>
      </c>
      <c r="B1425" s="138">
        <f>'Expenditures 15-22'!D259</f>
        <v>16461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16461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42205</v>
      </c>
      <c r="D1431" s="2" t="str">
        <f t="shared" si="21"/>
        <v>Error?</v>
      </c>
    </row>
    <row r="1432" spans="1:4" x14ac:dyDescent="0.2">
      <c r="A1432" s="5">
        <v>1371</v>
      </c>
      <c r="B1432" s="138">
        <f>'Expenditures 15-22'!D267</f>
        <v>47935</v>
      </c>
      <c r="D1432" s="2" t="str">
        <f t="shared" si="21"/>
        <v>Error?</v>
      </c>
    </row>
    <row r="1433" spans="1:4" x14ac:dyDescent="0.2">
      <c r="A1433" s="5">
        <v>1372</v>
      </c>
      <c r="B1433" s="138">
        <f>'Expenditures 15-22'!D268</f>
        <v>19282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115799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142957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194495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480</v>
      </c>
      <c r="C1470" s="2" t="s">
        <v>573</v>
      </c>
      <c r="D1470" s="2" t="str">
        <f t="shared" si="21"/>
        <v>Error?</v>
      </c>
    </row>
    <row r="1471" spans="1:4" x14ac:dyDescent="0.2">
      <c r="A1471" s="5">
        <v>1410</v>
      </c>
      <c r="B1471" s="138">
        <f>'Expenditures 15-22'!K222</f>
        <v>1346</v>
      </c>
      <c r="C1471" s="2" t="s">
        <v>573</v>
      </c>
      <c r="D1471" s="2" t="str">
        <f t="shared" ref="D1471:D1534" si="22">IF(ISBLANK(B1471),"OK",IF(A1471-B1471=0,"OK","Error?"))</f>
        <v>Error?</v>
      </c>
    </row>
    <row r="1472" spans="1:4" x14ac:dyDescent="0.2">
      <c r="A1472" s="5">
        <v>1411</v>
      </c>
      <c r="B1472" s="138">
        <f>'Expenditures 15-22'!K223</f>
        <v>2977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51538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1084</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1084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7939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7939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1674</v>
      </c>
      <c r="C1487" s="2" t="s">
        <v>573</v>
      </c>
      <c r="D1487" s="2" t="str">
        <f t="shared" si="22"/>
        <v>Error?</v>
      </c>
    </row>
    <row r="1488" spans="1:4" x14ac:dyDescent="0.2">
      <c r="A1488" s="5">
        <v>1427</v>
      </c>
      <c r="B1488" s="138">
        <f>'Expenditures 15-22'!K257</f>
        <v>1674</v>
      </c>
      <c r="C1488" s="2" t="s">
        <v>573</v>
      </c>
      <c r="D1488" s="2" t="str">
        <f t="shared" si="22"/>
        <v>Error?</v>
      </c>
    </row>
    <row r="1489" spans="1:4" x14ac:dyDescent="0.2">
      <c r="A1489" s="5">
        <v>1428</v>
      </c>
      <c r="B1489" s="138">
        <f>'Expenditures 15-22'!K259</f>
        <v>16461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16461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6377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42205</v>
      </c>
      <c r="C1495" s="2" t="s">
        <v>573</v>
      </c>
      <c r="D1495" s="2" t="str">
        <f t="shared" si="22"/>
        <v>Error?</v>
      </c>
    </row>
    <row r="1496" spans="1:4" x14ac:dyDescent="0.2">
      <c r="A1496" s="5">
        <v>1435</v>
      </c>
      <c r="B1496" s="138">
        <f>'Expenditures 15-22'!K267</f>
        <v>47935</v>
      </c>
      <c r="C1496" s="2" t="s">
        <v>573</v>
      </c>
      <c r="D1496" s="2" t="str">
        <f t="shared" si="22"/>
        <v>Error?</v>
      </c>
    </row>
    <row r="1497" spans="1:4" x14ac:dyDescent="0.2">
      <c r="A1497" s="5">
        <v>1436</v>
      </c>
      <c r="B1497" s="138">
        <f>'Expenditures 15-22'!K268</f>
        <v>19282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115799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142957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194495</v>
      </c>
      <c r="C1517" s="2" t="s">
        <v>573</v>
      </c>
      <c r="D1517" s="2" t="str">
        <f t="shared" si="22"/>
        <v>Error?</v>
      </c>
    </row>
    <row r="1518" spans="1:4" x14ac:dyDescent="0.2">
      <c r="A1518" s="5">
        <v>1457</v>
      </c>
      <c r="B1518" s="138">
        <f>'Expenditures 15-22'!K296</f>
        <v>51750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53916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53916</v>
      </c>
      <c r="C1535" s="2" t="s">
        <v>573</v>
      </c>
      <c r="D1535" s="2" t="str">
        <f t="shared" ref="D1535:D1598" si="23">IF(ISBLANK(B1535),"OK",IF(A1535-B1535=0,"OK","Error?"))</f>
        <v>Error?</v>
      </c>
    </row>
    <row r="1536" spans="1:4" x14ac:dyDescent="0.2">
      <c r="A1536" s="5">
        <v>1475</v>
      </c>
      <c r="B1536" s="138">
        <f>'Expenditures 15-22'!E312</f>
        <v>53916</v>
      </c>
      <c r="C1536" s="2" t="s">
        <v>573</v>
      </c>
      <c r="D1536" s="2" t="str">
        <f t="shared" si="23"/>
        <v>Error?</v>
      </c>
    </row>
    <row r="1537" spans="1:4" x14ac:dyDescent="0.2">
      <c r="A1537" s="5">
        <v>1476</v>
      </c>
      <c r="B1537" s="138">
        <f>'Expenditures 15-22'!F301</f>
        <v>10426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10426</v>
      </c>
      <c r="C1541" s="2" t="s">
        <v>573</v>
      </c>
      <c r="D1541" s="2" t="str">
        <f t="shared" si="23"/>
        <v>Error?</v>
      </c>
    </row>
    <row r="1542" spans="1:4" x14ac:dyDescent="0.2">
      <c r="A1542" s="5">
        <v>1481</v>
      </c>
      <c r="B1542" s="138">
        <f>'Expenditures 15-22'!F312</f>
        <v>10426</v>
      </c>
      <c r="C1542" s="2" t="s">
        <v>573</v>
      </c>
      <c r="D1542" s="2" t="str">
        <f t="shared" si="23"/>
        <v>Error?</v>
      </c>
    </row>
    <row r="1543" spans="1:4" x14ac:dyDescent="0.2">
      <c r="A1543" s="5">
        <v>1482</v>
      </c>
      <c r="B1543" s="138">
        <f>'Expenditures 15-22'!G301</f>
        <v>449945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449945</v>
      </c>
      <c r="C1547" s="2" t="s">
        <v>573</v>
      </c>
      <c r="D1547" s="2" t="str">
        <f t="shared" si="23"/>
        <v>Error?</v>
      </c>
    </row>
    <row r="1548" spans="1:4" x14ac:dyDescent="0.2">
      <c r="A1548" s="5">
        <v>1487</v>
      </c>
      <c r="B1548" s="138">
        <f>'Expenditures 15-22'!G312</f>
        <v>449945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514287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514287</v>
      </c>
      <c r="C1559" s="2" t="s">
        <v>573</v>
      </c>
      <c r="D1559" s="2" t="str">
        <f t="shared" si="23"/>
        <v>Error?</v>
      </c>
    </row>
    <row r="1560" spans="1:4" x14ac:dyDescent="0.2">
      <c r="A1560" s="5">
        <v>1499</v>
      </c>
      <c r="B1560" s="138">
        <f>'Expenditures 15-22'!K312</f>
        <v>514287</v>
      </c>
      <c r="C1560" s="2" t="s">
        <v>573</v>
      </c>
      <c r="D1560" s="2" t="str">
        <f t="shared" si="23"/>
        <v>Error?</v>
      </c>
    </row>
    <row r="1561" spans="1:4" x14ac:dyDescent="0.2">
      <c r="A1561" s="5">
        <v>1500</v>
      </c>
      <c r="B1561" s="138">
        <f>'Expenditures 15-22'!K313</f>
        <v>-347089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493457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445623</v>
      </c>
      <c r="C1630" s="2" t="s">
        <v>573</v>
      </c>
      <c r="D1630" s="2" t="str">
        <f t="shared" si="24"/>
        <v>Error?</v>
      </c>
    </row>
    <row r="1631" spans="1:4" x14ac:dyDescent="0.2">
      <c r="A1631" s="5">
        <v>1570</v>
      </c>
      <c r="B1631" s="138">
        <f>'Acct Summary 7-8'!D79</f>
        <v>402087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292305</v>
      </c>
      <c r="C1644" s="2" t="s">
        <v>573</v>
      </c>
      <c r="D1644" s="2" t="str">
        <f t="shared" si="24"/>
        <v>Error?</v>
      </c>
    </row>
    <row r="1645" spans="1:4" x14ac:dyDescent="0.2">
      <c r="A1645" s="5">
        <v>1584</v>
      </c>
      <c r="B1645" s="138">
        <f>'Acct Summary 7-8'!E79</f>
        <v>41992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42993</v>
      </c>
      <c r="C1658" s="2" t="s">
        <v>573</v>
      </c>
      <c r="D1658" s="2" t="str">
        <f t="shared" si="24"/>
        <v>Error?</v>
      </c>
    </row>
    <row r="1659" spans="1:4" x14ac:dyDescent="0.2">
      <c r="A1659" s="5">
        <v>1598</v>
      </c>
      <c r="B1659" s="138">
        <f>'Acct Summary 7-8'!F79</f>
        <v>455151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512493</v>
      </c>
      <c r="C1672" s="2" t="s">
        <v>573</v>
      </c>
      <c r="D1672" s="2" t="str">
        <f t="shared" si="25"/>
        <v>Error?</v>
      </c>
    </row>
    <row r="1673" spans="1:4" x14ac:dyDescent="0.2">
      <c r="A1673" s="5">
        <v>1612</v>
      </c>
      <c r="B1673" s="138">
        <f>'Acct Summary 7-8'!G79</f>
        <v>222891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274641</v>
      </c>
      <c r="C1686" s="2" t="s">
        <v>573</v>
      </c>
      <c r="D1686" s="2" t="str">
        <f t="shared" si="25"/>
        <v>Error?</v>
      </c>
    </row>
    <row r="1687" spans="1:4" x14ac:dyDescent="0.2">
      <c r="A1687" s="5">
        <v>1626</v>
      </c>
      <c r="B1687" s="138">
        <f>'Acct Summary 7-8'!H79</f>
        <v>114306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75495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3221822</v>
      </c>
      <c r="C1744" s="2" t="s">
        <v>573</v>
      </c>
      <c r="D1744" s="2" t="str">
        <f t="shared" si="26"/>
        <v>Error?</v>
      </c>
    </row>
    <row r="1745" spans="1:5" x14ac:dyDescent="0.2">
      <c r="A1745" s="5">
        <v>1684</v>
      </c>
      <c r="B1745" s="138">
        <f>'Tax Sched 23'!B5</f>
        <v>492226</v>
      </c>
      <c r="C1745" s="2" t="s">
        <v>573</v>
      </c>
      <c r="D1745" s="2" t="str">
        <f t="shared" si="26"/>
        <v>Error?</v>
      </c>
    </row>
    <row r="1746" spans="1:5" x14ac:dyDescent="0.2">
      <c r="A1746" s="5">
        <v>1685</v>
      </c>
      <c r="B1746" s="138">
        <f>'Tax Sched 23'!B6</f>
        <v>165081</v>
      </c>
      <c r="C1746" s="2" t="s">
        <v>573</v>
      </c>
      <c r="D1746" s="2" t="str">
        <f t="shared" si="26"/>
        <v>Error?</v>
      </c>
    </row>
    <row r="1747" spans="1:5" x14ac:dyDescent="0.2">
      <c r="A1747" s="5">
        <v>1686</v>
      </c>
      <c r="B1747" s="138">
        <f>'Tax Sched 23'!B7</f>
        <v>178981</v>
      </c>
      <c r="C1747" s="2" t="s">
        <v>573</v>
      </c>
      <c r="D1747" s="2" t="str">
        <f t="shared" si="26"/>
        <v>Error?</v>
      </c>
    </row>
    <row r="1748" spans="1:5" x14ac:dyDescent="0.2">
      <c r="A1748" s="5">
        <v>1687</v>
      </c>
      <c r="B1748" s="138">
        <f>'Tax Sched 23'!B8</f>
        <v>82392</v>
      </c>
      <c r="C1748" s="2" t="s">
        <v>573</v>
      </c>
      <c r="D1748" s="2" t="str">
        <f t="shared" si="26"/>
        <v>Error?</v>
      </c>
    </row>
    <row r="1749" spans="1:5" x14ac:dyDescent="0.2">
      <c r="A1749" s="5">
        <v>1688</v>
      </c>
      <c r="B1749" s="138">
        <f>'Tax Sched 23'!B10</f>
        <v>9940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194867</v>
      </c>
      <c r="C1752" s="2" t="s">
        <v>573</v>
      </c>
      <c r="D1752" s="2" t="str">
        <f t="shared" si="26"/>
        <v>Error?</v>
      </c>
    </row>
    <row r="1753" spans="1:5" x14ac:dyDescent="0.2">
      <c r="A1753" s="5">
        <v>1692</v>
      </c>
      <c r="B1753" s="138">
        <f>'Tax Sched 23'!B12</f>
        <v>44740</v>
      </c>
      <c r="C1753" s="2" t="s">
        <v>573</v>
      </c>
      <c r="D1753" s="2" t="str">
        <f t="shared" si="26"/>
        <v>Error?</v>
      </c>
    </row>
    <row r="1754" spans="1:5" x14ac:dyDescent="0.2">
      <c r="A1754" s="5">
        <v>1693</v>
      </c>
      <c r="B1754" s="138">
        <f>'Tax Sched 23'!B14</f>
        <v>35805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4626313</v>
      </c>
      <c r="C1759" s="2" t="s">
        <v>573</v>
      </c>
      <c r="D1759" s="2" t="str">
        <f t="shared" si="26"/>
        <v>Error?</v>
      </c>
    </row>
    <row r="1760" spans="1:5" x14ac:dyDescent="0.2">
      <c r="A1760" s="5">
        <v>1699</v>
      </c>
      <c r="B1760" s="138">
        <f>'Tax Sched 23'!D4</f>
        <v>2414703</v>
      </c>
      <c r="C1760" s="2" t="s">
        <v>573</v>
      </c>
      <c r="D1760" s="2" t="str">
        <f t="shared" si="26"/>
        <v>Error?</v>
      </c>
    </row>
    <row r="1761" spans="1:5" x14ac:dyDescent="0.2">
      <c r="A1761" s="5">
        <v>1700</v>
      </c>
      <c r="B1761" s="138">
        <f>'Tax Sched 23'!D5</f>
        <v>368912</v>
      </c>
      <c r="C1761" s="2" t="s">
        <v>573</v>
      </c>
      <c r="D1761" s="2" t="str">
        <f t="shared" si="26"/>
        <v>Error?</v>
      </c>
    </row>
    <row r="1762" spans="1:5" s="8" customFormat="1" x14ac:dyDescent="0.2">
      <c r="A1762" s="5">
        <v>1701</v>
      </c>
      <c r="B1762" s="138">
        <f>'Tax Sched 23'!D6</f>
        <v>123158</v>
      </c>
      <c r="C1762" s="2" t="s">
        <v>573</v>
      </c>
      <c r="D1762" s="2" t="str">
        <f t="shared" si="26"/>
        <v>Error?</v>
      </c>
      <c r="E1762" s="9"/>
    </row>
    <row r="1763" spans="1:5" x14ac:dyDescent="0.2">
      <c r="A1763" s="5">
        <v>1702</v>
      </c>
      <c r="B1763" s="138">
        <f>'Tax Sched 23'!D7</f>
        <v>134150</v>
      </c>
      <c r="C1763" s="2" t="s">
        <v>573</v>
      </c>
      <c r="D1763" s="2" t="str">
        <f t="shared" si="26"/>
        <v>Error?</v>
      </c>
    </row>
    <row r="1764" spans="1:5" x14ac:dyDescent="0.2">
      <c r="A1764" s="5">
        <v>1703</v>
      </c>
      <c r="B1764" s="138">
        <f>'Tax Sched 23'!D8</f>
        <v>61965</v>
      </c>
      <c r="C1764" s="2" t="s">
        <v>573</v>
      </c>
      <c r="D1764" s="2" t="str">
        <f t="shared" si="26"/>
        <v>Error?</v>
      </c>
    </row>
    <row r="1765" spans="1:5" x14ac:dyDescent="0.2">
      <c r="A1765" s="5">
        <v>1704</v>
      </c>
      <c r="B1765" s="138">
        <f>'Tax Sched 23'!D10</f>
        <v>7463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146559</v>
      </c>
      <c r="C1768" s="2" t="s">
        <v>573</v>
      </c>
      <c r="D1768" s="2" t="str">
        <f t="shared" si="26"/>
        <v>Error?</v>
      </c>
    </row>
    <row r="1769" spans="1:5" x14ac:dyDescent="0.2">
      <c r="A1769" s="5">
        <v>1708</v>
      </c>
      <c r="B1769" s="138">
        <f>'Tax Sched 23'!D12</f>
        <v>33538</v>
      </c>
      <c r="C1769" s="2" t="s">
        <v>573</v>
      </c>
      <c r="D1769" s="2" t="str">
        <f t="shared" si="26"/>
        <v>Error?</v>
      </c>
    </row>
    <row r="1770" spans="1:5" x14ac:dyDescent="0.2">
      <c r="A1770" s="5">
        <v>1709</v>
      </c>
      <c r="B1770" s="138">
        <f>'Tax Sched 23'!D14</f>
        <v>26830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3467930</v>
      </c>
      <c r="C1775" s="2" t="s">
        <v>573</v>
      </c>
      <c r="D1775" s="2" t="str">
        <f t="shared" si="26"/>
        <v>Error?</v>
      </c>
    </row>
    <row r="1776" spans="1:5" x14ac:dyDescent="0.2">
      <c r="A1776" s="5">
        <v>1715</v>
      </c>
      <c r="B1776" s="138">
        <f>'Tax Sched 23'!C4</f>
        <v>807119</v>
      </c>
      <c r="D1776" s="2" t="str">
        <f t="shared" si="26"/>
        <v>Error?</v>
      </c>
    </row>
    <row r="1777" spans="1:4" x14ac:dyDescent="0.2">
      <c r="A1777" s="5">
        <v>1716</v>
      </c>
      <c r="B1777" s="138">
        <f>'Tax Sched 23'!C5</f>
        <v>123314</v>
      </c>
      <c r="D1777" s="2" t="str">
        <f t="shared" si="26"/>
        <v>Error?</v>
      </c>
    </row>
    <row r="1778" spans="1:4" x14ac:dyDescent="0.2">
      <c r="A1778" s="5">
        <v>1717</v>
      </c>
      <c r="B1778" s="138">
        <f>'Tax Sched 23'!C6</f>
        <v>41923</v>
      </c>
      <c r="D1778" s="2" t="str">
        <f t="shared" si="26"/>
        <v>Error?</v>
      </c>
    </row>
    <row r="1779" spans="1:4" x14ac:dyDescent="0.2">
      <c r="A1779" s="5">
        <v>1718</v>
      </c>
      <c r="B1779" s="138">
        <f>'Tax Sched 23'!C7</f>
        <v>44831</v>
      </c>
      <c r="D1779" s="2" t="str">
        <f t="shared" si="26"/>
        <v>Error?</v>
      </c>
    </row>
    <row r="1780" spans="1:4" x14ac:dyDescent="0.2">
      <c r="A1780" s="5">
        <v>1719</v>
      </c>
      <c r="B1780" s="138">
        <f>'Tax Sched 23'!C8</f>
        <v>20427</v>
      </c>
      <c r="D1780" s="2" t="str">
        <f t="shared" si="26"/>
        <v>Error?</v>
      </c>
    </row>
    <row r="1781" spans="1:4" x14ac:dyDescent="0.2">
      <c r="A1781" s="5">
        <v>1720</v>
      </c>
      <c r="B1781" s="138">
        <f>'Tax Sched 23'!C10</f>
        <v>2477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48308</v>
      </c>
      <c r="D1784" s="2" t="str">
        <f t="shared" si="26"/>
        <v>Error?</v>
      </c>
    </row>
    <row r="1785" spans="1:4" x14ac:dyDescent="0.2">
      <c r="A1785" s="5">
        <v>1724</v>
      </c>
      <c r="B1785" s="138">
        <f>'Tax Sched 23'!C12</f>
        <v>11202</v>
      </c>
      <c r="D1785" s="2" t="str">
        <f t="shared" si="26"/>
        <v>Error?</v>
      </c>
    </row>
    <row r="1786" spans="1:4" x14ac:dyDescent="0.2">
      <c r="A1786" s="5">
        <v>1725</v>
      </c>
      <c r="B1786" s="138">
        <f>'Tax Sched 23'!C14</f>
        <v>8975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1158383</v>
      </c>
      <c r="C1791" s="2" t="s">
        <v>573</v>
      </c>
      <c r="D1791" s="2" t="str">
        <f t="shared" ref="D1791:D1854" si="27">IF(ISBLANK(B1791),"OK",IF(A1791-B1791=0,"OK","Error?"))</f>
        <v>Error?</v>
      </c>
    </row>
    <row r="1792" spans="1:4" x14ac:dyDescent="0.2">
      <c r="A1792" s="5">
        <v>1731</v>
      </c>
      <c r="B1792" s="138">
        <f>'Tax Sched 23'!F4</f>
        <v>2437660</v>
      </c>
      <c r="C1792" s="2" t="s">
        <v>573</v>
      </c>
      <c r="D1792" s="2" t="str">
        <f t="shared" si="27"/>
        <v>Error?</v>
      </c>
    </row>
    <row r="1793" spans="1:4" x14ac:dyDescent="0.2">
      <c r="A1793" s="5">
        <v>1732</v>
      </c>
      <c r="B1793" s="138">
        <f>'Tax Sched 23'!F5</f>
        <v>372433</v>
      </c>
      <c r="C1793" s="2" t="s">
        <v>573</v>
      </c>
      <c r="D1793" s="2" t="str">
        <f t="shared" si="27"/>
        <v>Error?</v>
      </c>
    </row>
    <row r="1794" spans="1:4" x14ac:dyDescent="0.2">
      <c r="A1794" s="5">
        <v>1733</v>
      </c>
      <c r="B1794" s="138">
        <f>'Tax Sched 23'!F6</f>
        <v>126614</v>
      </c>
      <c r="C1794" s="2" t="s">
        <v>573</v>
      </c>
      <c r="D1794" s="2" t="str">
        <f t="shared" si="27"/>
        <v>Error?</v>
      </c>
    </row>
    <row r="1795" spans="1:4" x14ac:dyDescent="0.2">
      <c r="A1795" s="5">
        <v>1734</v>
      </c>
      <c r="B1795" s="138">
        <f>'Tax Sched 23'!F7</f>
        <v>135399</v>
      </c>
      <c r="C1795" s="2" t="s">
        <v>573</v>
      </c>
      <c r="D1795" s="2" t="str">
        <f t="shared" si="27"/>
        <v>Error?</v>
      </c>
    </row>
    <row r="1796" spans="1:4" x14ac:dyDescent="0.2">
      <c r="A1796" s="5">
        <v>1735</v>
      </c>
      <c r="B1796" s="138">
        <f>'Tax Sched 23'!F8</f>
        <v>61695</v>
      </c>
      <c r="C1796" s="2" t="s">
        <v>573</v>
      </c>
      <c r="D1796" s="2" t="str">
        <f t="shared" si="27"/>
        <v>Error?</v>
      </c>
    </row>
    <row r="1797" spans="1:4" x14ac:dyDescent="0.2">
      <c r="A1797" s="5">
        <v>1736</v>
      </c>
      <c r="B1797" s="138">
        <f>'Tax Sched 23'!F10</f>
        <v>7480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145898</v>
      </c>
      <c r="C1800" s="2" t="s">
        <v>573</v>
      </c>
      <c r="D1800" s="2" t="str">
        <f t="shared" si="27"/>
        <v>Error?</v>
      </c>
    </row>
    <row r="1801" spans="1:4" x14ac:dyDescent="0.2">
      <c r="A1801" s="5">
        <v>1740</v>
      </c>
      <c r="B1801" s="138">
        <f>'Tax Sched 23'!F12</f>
        <v>33833</v>
      </c>
      <c r="C1801" s="2" t="s">
        <v>573</v>
      </c>
      <c r="D1801" s="2" t="str">
        <f t="shared" si="27"/>
        <v>Error?</v>
      </c>
    </row>
    <row r="1802" spans="1:4" x14ac:dyDescent="0.2">
      <c r="A1802" s="5">
        <v>1741</v>
      </c>
      <c r="B1802" s="138">
        <f>'Tax Sched 23'!F14</f>
        <v>27107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3498548</v>
      </c>
      <c r="C1807" s="2" t="s">
        <v>573</v>
      </c>
      <c r="D1807" s="2" t="str">
        <f t="shared" si="27"/>
        <v>Error?</v>
      </c>
    </row>
    <row r="1808" spans="1:4" x14ac:dyDescent="0.2">
      <c r="A1808" s="5">
        <v>1747</v>
      </c>
      <c r="B1808" s="138">
        <f>'Tax Sched 23'!E4</f>
        <v>3244779</v>
      </c>
      <c r="D1808" s="2" t="str">
        <f t="shared" si="27"/>
        <v>Error?</v>
      </c>
    </row>
    <row r="1809" spans="1:4" x14ac:dyDescent="0.2">
      <c r="A1809" s="5">
        <v>1748</v>
      </c>
      <c r="B1809" s="138">
        <f>'Tax Sched 23'!E5</f>
        <v>495747</v>
      </c>
      <c r="D1809" s="2" t="str">
        <f t="shared" si="27"/>
        <v>Error?</v>
      </c>
    </row>
    <row r="1810" spans="1:4" x14ac:dyDescent="0.2">
      <c r="A1810" s="5">
        <v>1749</v>
      </c>
      <c r="B1810" s="138">
        <f>'Tax Sched 23'!E6</f>
        <v>168537</v>
      </c>
      <c r="D1810" s="2" t="str">
        <f t="shared" si="27"/>
        <v>Error?</v>
      </c>
    </row>
    <row r="1811" spans="1:4" x14ac:dyDescent="0.2">
      <c r="A1811" s="5">
        <v>1750</v>
      </c>
      <c r="B1811" s="138">
        <f>'Tax Sched 23'!E7</f>
        <v>180230</v>
      </c>
      <c r="D1811" s="2" t="str">
        <f t="shared" si="27"/>
        <v>Error?</v>
      </c>
    </row>
    <row r="1812" spans="1:4" x14ac:dyDescent="0.2">
      <c r="A1812" s="5">
        <v>1751</v>
      </c>
      <c r="B1812" s="138">
        <f>'Tax Sched 23'!E8</f>
        <v>82122</v>
      </c>
      <c r="D1812" s="2" t="str">
        <f t="shared" si="27"/>
        <v>Error?</v>
      </c>
    </row>
    <row r="1813" spans="1:4" x14ac:dyDescent="0.2">
      <c r="A1813" s="5">
        <v>1752</v>
      </c>
      <c r="B1813" s="138">
        <f>'Tax Sched 23'!E10</f>
        <v>9957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194206</v>
      </c>
      <c r="D1816" s="2" t="str">
        <f t="shared" si="27"/>
        <v>Error?</v>
      </c>
    </row>
    <row r="1817" spans="1:4" x14ac:dyDescent="0.2">
      <c r="A1817" s="5">
        <v>1756</v>
      </c>
      <c r="B1817" s="138">
        <f>'Tax Sched 23'!E12</f>
        <v>45035</v>
      </c>
      <c r="D1817" s="2" t="str">
        <f t="shared" si="27"/>
        <v>Error?</v>
      </c>
    </row>
    <row r="1818" spans="1:4" x14ac:dyDescent="0.2">
      <c r="A1818" s="5">
        <v>1757</v>
      </c>
      <c r="B1818" s="138">
        <f>'Tax Sched 23'!E14</f>
        <v>36082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4656931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765000</v>
      </c>
      <c r="C1939" s="2" t="s">
        <v>573</v>
      </c>
      <c r="D1939" s="2" t="str">
        <f t="shared" si="29"/>
        <v>Error?</v>
      </c>
    </row>
    <row r="1940" spans="1:5" x14ac:dyDescent="0.2">
      <c r="A1940" s="5">
        <v>1879</v>
      </c>
      <c r="B1940" s="138">
        <f>'Short-Term Long-Term Debt 24'!F49</f>
        <v>12849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35805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35805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35805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56972</v>
      </c>
      <c r="D2008" s="2" t="str">
        <f t="shared" si="30"/>
        <v>Error?</v>
      </c>
    </row>
    <row r="2009" spans="1:4" x14ac:dyDescent="0.2">
      <c r="A2009" s="5">
        <v>1948</v>
      </c>
      <c r="B2009" s="138">
        <f>'Cap Outlay Deprec 26'!C8</f>
        <v>5189865</v>
      </c>
      <c r="D2009" s="2" t="str">
        <f t="shared" si="30"/>
        <v>Error?</v>
      </c>
    </row>
    <row r="2010" spans="1:4" x14ac:dyDescent="0.2">
      <c r="A2010" s="5">
        <v>1949</v>
      </c>
      <c r="B2010" s="138">
        <f>'Cap Outlay Deprec 26'!C10</f>
        <v>1554717</v>
      </c>
      <c r="D2010" s="2" t="str">
        <f t="shared" si="30"/>
        <v>Error?</v>
      </c>
    </row>
    <row r="2011" spans="1:4" x14ac:dyDescent="0.2">
      <c r="A2011" s="5">
        <v>1950</v>
      </c>
      <c r="B2011" s="138">
        <f>'Cap Outlay Deprec 26'!C12</f>
        <v>2592953</v>
      </c>
      <c r="D2011" s="2" t="str">
        <f t="shared" si="30"/>
        <v>Error?</v>
      </c>
    </row>
    <row r="2012" spans="1:4" x14ac:dyDescent="0.2">
      <c r="A2012" s="5">
        <v>1951</v>
      </c>
      <c r="B2012" s="138">
        <f>'Cap Outlay Deprec 26'!C13</f>
        <v>1349725</v>
      </c>
      <c r="D2012" s="2" t="str">
        <f t="shared" si="30"/>
        <v>Error?</v>
      </c>
    </row>
    <row r="2013" spans="1:4" x14ac:dyDescent="0.2">
      <c r="A2013" s="5">
        <v>1952</v>
      </c>
      <c r="B2013" s="138">
        <f>'Cap Outlay Deprec 26'!C16</f>
        <v>10744232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277175</v>
      </c>
      <c r="D2015" s="2" t="str">
        <f t="shared" si="30"/>
        <v>Error?</v>
      </c>
    </row>
    <row r="2016" spans="1:4" x14ac:dyDescent="0.2">
      <c r="A2016" s="5">
        <v>1955</v>
      </c>
      <c r="B2016" s="138">
        <f>'Cap Outlay Deprec 26'!D10</f>
        <v>133833</v>
      </c>
      <c r="D2016" s="2" t="str">
        <f t="shared" si="30"/>
        <v>Error?</v>
      </c>
    </row>
    <row r="2017" spans="1:4" x14ac:dyDescent="0.2">
      <c r="A2017" s="5">
        <v>1956</v>
      </c>
      <c r="B2017" s="138">
        <f>'Cap Outlay Deprec 26'!D12</f>
        <v>50630</v>
      </c>
      <c r="D2017" s="2" t="str">
        <f t="shared" si="30"/>
        <v>Error?</v>
      </c>
    </row>
    <row r="2018" spans="1:4" x14ac:dyDescent="0.2">
      <c r="A2018" s="5">
        <v>1957</v>
      </c>
      <c r="B2018" s="138">
        <f>'Cap Outlay Deprec 26'!D13</f>
        <v>30408</v>
      </c>
      <c r="D2018" s="2" t="str">
        <f t="shared" si="30"/>
        <v>Error?</v>
      </c>
    </row>
    <row r="2019" spans="1:4" x14ac:dyDescent="0.2">
      <c r="A2019" s="5">
        <v>1958</v>
      </c>
      <c r="B2019" s="138">
        <f>'Cap Outlay Deprec 26'!D16</f>
        <v>511969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56972</v>
      </c>
      <c r="C2026" s="2" t="s">
        <v>573</v>
      </c>
      <c r="D2026" s="2" t="str">
        <f t="shared" si="30"/>
        <v>Error?</v>
      </c>
    </row>
    <row r="2027" spans="1:4" x14ac:dyDescent="0.2">
      <c r="A2027" s="5">
        <v>1966</v>
      </c>
      <c r="B2027" s="138">
        <f>'Cap Outlay Deprec 26'!F8</f>
        <v>5467040</v>
      </c>
      <c r="C2027" s="2" t="s">
        <v>573</v>
      </c>
      <c r="D2027" s="2" t="str">
        <f t="shared" si="30"/>
        <v>Error?</v>
      </c>
    </row>
    <row r="2028" spans="1:4" x14ac:dyDescent="0.2">
      <c r="A2028" s="5">
        <v>1967</v>
      </c>
      <c r="B2028" s="138">
        <f>'Cap Outlay Deprec 26'!F10</f>
        <v>1688550</v>
      </c>
      <c r="C2028" s="2" t="s">
        <v>573</v>
      </c>
      <c r="D2028" s="2" t="str">
        <f t="shared" si="30"/>
        <v>Error?</v>
      </c>
    </row>
    <row r="2029" spans="1:4" x14ac:dyDescent="0.2">
      <c r="A2029" s="5">
        <v>1968</v>
      </c>
      <c r="B2029" s="138">
        <f>'Cap Outlay Deprec 26'!F12</f>
        <v>2643583</v>
      </c>
      <c r="C2029" s="2" t="s">
        <v>573</v>
      </c>
      <c r="D2029" s="2" t="str">
        <f t="shared" si="30"/>
        <v>Error?</v>
      </c>
    </row>
    <row r="2030" spans="1:4" x14ac:dyDescent="0.2">
      <c r="A2030" s="5">
        <v>1969</v>
      </c>
      <c r="B2030" s="138">
        <f>'Cap Outlay Deprec 26'!F13</f>
        <v>1380133</v>
      </c>
      <c r="C2030" s="2" t="s">
        <v>573</v>
      </c>
      <c r="D2030" s="2" t="str">
        <f t="shared" si="30"/>
        <v>Error?</v>
      </c>
    </row>
    <row r="2031" spans="1:4" x14ac:dyDescent="0.2">
      <c r="A2031" s="5">
        <v>1970</v>
      </c>
      <c r="B2031" s="138">
        <f>'Cap Outlay Deprec 26'!F16</f>
        <v>11256201</v>
      </c>
      <c r="C2031" s="2" t="s">
        <v>573</v>
      </c>
      <c r="D2031" s="2" t="str">
        <f t="shared" si="30"/>
        <v>Error?</v>
      </c>
    </row>
    <row r="2032" spans="1:4" x14ac:dyDescent="0.2">
      <c r="A2032" s="10">
        <v>1971</v>
      </c>
      <c r="D2032" s="2" t="str">
        <f t="shared" si="30"/>
        <v>OK</v>
      </c>
    </row>
    <row r="2033" spans="1:4" x14ac:dyDescent="0.2">
      <c r="A2033" s="5">
        <v>1972</v>
      </c>
      <c r="B2033" s="138">
        <f>'Cap Outlay Deprec 26'!H8</f>
        <v>3706260</v>
      </c>
      <c r="D2033" s="2" t="str">
        <f t="shared" si="30"/>
        <v>Error?</v>
      </c>
    </row>
    <row r="2034" spans="1:4" x14ac:dyDescent="0.2">
      <c r="A2034" s="5">
        <v>1973</v>
      </c>
      <c r="B2034" s="138">
        <f>'Cap Outlay Deprec 26'!H10</f>
        <v>505541</v>
      </c>
      <c r="D2034" s="2" t="str">
        <f t="shared" si="30"/>
        <v>Error?</v>
      </c>
    </row>
    <row r="2035" spans="1:4" x14ac:dyDescent="0.2">
      <c r="A2035" s="5">
        <v>1974</v>
      </c>
      <c r="B2035" s="138">
        <f>'Cap Outlay Deprec 26'!H12</f>
        <v>2066222</v>
      </c>
      <c r="D2035" s="2" t="str">
        <f t="shared" si="30"/>
        <v>Error?</v>
      </c>
    </row>
    <row r="2036" spans="1:4" x14ac:dyDescent="0.2">
      <c r="A2036" s="5">
        <v>1975</v>
      </c>
      <c r="B2036" s="138">
        <f>'Cap Outlay Deprec 26'!H13</f>
        <v>1298173</v>
      </c>
      <c r="D2036" s="2" t="str">
        <f t="shared" si="30"/>
        <v>Error?</v>
      </c>
    </row>
    <row r="2037" spans="1:4" x14ac:dyDescent="0.2">
      <c r="A2037" s="5">
        <v>1976</v>
      </c>
      <c r="B2037" s="138">
        <f>'Cap Outlay Deprec 26'!H16</f>
        <v>7576196</v>
      </c>
      <c r="C2037" s="2" t="s">
        <v>573</v>
      </c>
      <c r="D2037" s="2" t="str">
        <f t="shared" si="30"/>
        <v>Error?</v>
      </c>
    </row>
    <row r="2038" spans="1:4" x14ac:dyDescent="0.2">
      <c r="A2038" s="10">
        <v>1977</v>
      </c>
      <c r="D2038" s="2" t="str">
        <f t="shared" si="30"/>
        <v>OK</v>
      </c>
    </row>
    <row r="2039" spans="1:4" x14ac:dyDescent="0.2">
      <c r="A2039" s="5">
        <v>1978</v>
      </c>
      <c r="B2039" s="138">
        <f>'Cap Outlay Deprec 26'!I8</f>
        <v>82285</v>
      </c>
      <c r="D2039" s="2" t="str">
        <f t="shared" si="30"/>
        <v>Error?</v>
      </c>
    </row>
    <row r="2040" spans="1:4" x14ac:dyDescent="0.2">
      <c r="A2040" s="5">
        <v>1979</v>
      </c>
      <c r="B2040" s="138">
        <f>'Cap Outlay Deprec 26'!I10</f>
        <v>81035</v>
      </c>
      <c r="D2040" s="2" t="str">
        <f t="shared" si="30"/>
        <v>Error?</v>
      </c>
    </row>
    <row r="2041" spans="1:4" x14ac:dyDescent="0.2">
      <c r="A2041" s="5">
        <v>1980</v>
      </c>
      <c r="B2041" s="138">
        <f>'Cap Outlay Deprec 26'!I12</f>
        <v>111549</v>
      </c>
      <c r="D2041" s="2" t="str">
        <f t="shared" si="30"/>
        <v>Error?</v>
      </c>
    </row>
    <row r="2042" spans="1:4" x14ac:dyDescent="0.2">
      <c r="A2042" s="5">
        <v>1981</v>
      </c>
      <c r="B2042" s="138">
        <f>'Cap Outlay Deprec 26'!I13</f>
        <v>19151</v>
      </c>
      <c r="D2042" s="2" t="str">
        <f t="shared" si="30"/>
        <v>Error?</v>
      </c>
    </row>
    <row r="2043" spans="1:4" x14ac:dyDescent="0.2">
      <c r="A2043" s="5">
        <v>1982</v>
      </c>
      <c r="B2043" s="138">
        <f>'Cap Outlay Deprec 26'!I16</f>
        <v>294020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3788545</v>
      </c>
      <c r="C2051" s="2" t="s">
        <v>573</v>
      </c>
      <c r="D2051" s="2" t="str">
        <f t="shared" si="31"/>
        <v>Error?</v>
      </c>
    </row>
    <row r="2052" spans="1:4" x14ac:dyDescent="0.2">
      <c r="A2052" s="5">
        <v>1991</v>
      </c>
      <c r="B2052" s="138">
        <f>'Cap Outlay Deprec 26'!K10</f>
        <v>586576</v>
      </c>
      <c r="C2052" s="2" t="s">
        <v>573</v>
      </c>
      <c r="D2052" s="2" t="str">
        <f t="shared" si="31"/>
        <v>Error?</v>
      </c>
    </row>
    <row r="2053" spans="1:4" x14ac:dyDescent="0.2">
      <c r="A2053" s="5">
        <v>1992</v>
      </c>
      <c r="B2053" s="138">
        <f>'Cap Outlay Deprec 26'!K12</f>
        <v>2177771</v>
      </c>
      <c r="C2053" s="2" t="s">
        <v>573</v>
      </c>
      <c r="D2053" s="2" t="str">
        <f t="shared" si="31"/>
        <v>Error?</v>
      </c>
    </row>
    <row r="2054" spans="1:4" x14ac:dyDescent="0.2">
      <c r="A2054" s="5">
        <v>1993</v>
      </c>
      <c r="B2054" s="138">
        <f>'Cap Outlay Deprec 26'!K13</f>
        <v>1317324</v>
      </c>
      <c r="C2054" s="2" t="s">
        <v>573</v>
      </c>
      <c r="D2054" s="2" t="str">
        <f t="shared" si="31"/>
        <v>Error?</v>
      </c>
    </row>
    <row r="2055" spans="1:4" x14ac:dyDescent="0.2">
      <c r="A2055" s="5">
        <v>1994</v>
      </c>
      <c r="B2055" s="138">
        <f>'Cap Outlay Deprec 26'!K16</f>
        <v>7870216</v>
      </c>
      <c r="C2055" s="2" t="s">
        <v>573</v>
      </c>
      <c r="D2055" s="2" t="str">
        <f t="shared" si="31"/>
        <v>Error?</v>
      </c>
    </row>
    <row r="2056" spans="1:4" x14ac:dyDescent="0.2">
      <c r="A2056" s="5">
        <v>1995</v>
      </c>
      <c r="B2056" s="138">
        <f>'Cap Outlay Deprec 26'!L5</f>
        <v>56972</v>
      </c>
      <c r="C2056" s="2" t="s">
        <v>573</v>
      </c>
      <c r="D2056" s="2" t="str">
        <f t="shared" si="31"/>
        <v>Error?</v>
      </c>
    </row>
    <row r="2057" spans="1:4" x14ac:dyDescent="0.2">
      <c r="A2057" s="5">
        <v>1996</v>
      </c>
      <c r="B2057" s="138">
        <f>'Cap Outlay Deprec 26'!L8</f>
        <v>1678495</v>
      </c>
      <c r="C2057" s="2" t="s">
        <v>573</v>
      </c>
      <c r="D2057" s="2" t="str">
        <f t="shared" si="31"/>
        <v>Error?</v>
      </c>
    </row>
    <row r="2058" spans="1:4" x14ac:dyDescent="0.2">
      <c r="A2058" s="5">
        <v>1997</v>
      </c>
      <c r="B2058" s="138">
        <f>'Cap Outlay Deprec 26'!L10</f>
        <v>1101974</v>
      </c>
      <c r="C2058" s="2" t="s">
        <v>573</v>
      </c>
      <c r="D2058" s="2" t="str">
        <f t="shared" si="31"/>
        <v>Error?</v>
      </c>
    </row>
    <row r="2059" spans="1:4" x14ac:dyDescent="0.2">
      <c r="A2059" s="5">
        <v>1998</v>
      </c>
      <c r="B2059" s="138">
        <f>'Cap Outlay Deprec 26'!L12</f>
        <v>465812</v>
      </c>
      <c r="C2059" s="2" t="s">
        <v>573</v>
      </c>
      <c r="D2059" s="2" t="str">
        <f t="shared" si="31"/>
        <v>Error?</v>
      </c>
    </row>
    <row r="2060" spans="1:4" x14ac:dyDescent="0.2">
      <c r="A2060" s="5">
        <v>1999</v>
      </c>
      <c r="B2060" s="138">
        <f>'Cap Outlay Deprec 26'!L13</f>
        <v>62809</v>
      </c>
      <c r="C2060" s="2" t="s">
        <v>573</v>
      </c>
      <c r="D2060" s="2" t="str">
        <f t="shared" si="31"/>
        <v>Error?</v>
      </c>
    </row>
    <row r="2061" spans="1:4" x14ac:dyDescent="0.2">
      <c r="A2061" s="5">
        <v>2000</v>
      </c>
      <c r="B2061" s="138">
        <f>'Cap Outlay Deprec 26'!L16</f>
        <v>3385985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464995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464995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3882469</v>
      </c>
      <c r="C2551" s="2" t="s">
        <v>573</v>
      </c>
      <c r="D2551" s="2" t="str">
        <f t="shared" si="38"/>
        <v>Error?</v>
      </c>
    </row>
    <row r="2552" spans="1:4" x14ac:dyDescent="0.2">
      <c r="A2552" s="10">
        <v>2491</v>
      </c>
      <c r="D2552" s="2" t="str">
        <f t="shared" si="38"/>
        <v>OK</v>
      </c>
    </row>
    <row r="2553" spans="1:4" x14ac:dyDescent="0.2">
      <c r="A2553" s="5">
        <v>2492</v>
      </c>
      <c r="B2553" s="138">
        <f>'Acct Summary 7-8'!C6</f>
        <v>1533104</v>
      </c>
      <c r="C2553" s="2" t="s">
        <v>573</v>
      </c>
      <c r="D2553" s="2" t="str">
        <f t="shared" si="38"/>
        <v>Error?</v>
      </c>
    </row>
    <row r="2554" spans="1:4" x14ac:dyDescent="0.2">
      <c r="A2554" s="5">
        <v>2493</v>
      </c>
      <c r="B2554" s="138">
        <f>'Acct Summary 7-8'!C7</f>
        <v>426382</v>
      </c>
      <c r="C2554" s="2" t="s">
        <v>573</v>
      </c>
      <c r="D2554" s="2" t="str">
        <f t="shared" si="38"/>
        <v>Error?</v>
      </c>
    </row>
    <row r="2555" spans="1:4" x14ac:dyDescent="0.2">
      <c r="A2555" s="5">
        <v>2494</v>
      </c>
      <c r="B2555" s="138">
        <f>'Acct Summary 7-8'!C8</f>
        <v>5841955</v>
      </c>
      <c r="C2555" s="2" t="s">
        <v>573</v>
      </c>
      <c r="D2555" s="2" t="str">
        <f t="shared" si="38"/>
        <v>Error?</v>
      </c>
    </row>
    <row r="2556" spans="1:4" x14ac:dyDescent="0.2">
      <c r="A2556" s="5">
        <v>2495</v>
      </c>
      <c r="B2556" s="138">
        <f>'Acct Summary 7-8'!C12</f>
        <v>4082966</v>
      </c>
      <c r="C2556" s="2" t="s">
        <v>573</v>
      </c>
      <c r="D2556" s="2" t="str">
        <f t="shared" si="38"/>
        <v>Error?</v>
      </c>
    </row>
    <row r="2557" spans="1:4" x14ac:dyDescent="0.2">
      <c r="A2557" s="5">
        <v>2496</v>
      </c>
      <c r="B2557" s="138">
        <f>'Acct Summary 7-8'!C13</f>
        <v>1341828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464995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5889789</v>
      </c>
      <c r="C2561" s="2" t="s">
        <v>573</v>
      </c>
      <c r="D2561" s="2" t="str">
        <f t="shared" si="39"/>
        <v>Error?</v>
      </c>
    </row>
    <row r="2562" spans="1:4" x14ac:dyDescent="0.2">
      <c r="A2562" s="5">
        <v>2501</v>
      </c>
      <c r="B2562" s="138">
        <f>'Acct Summary 7-8'!C20</f>
        <v>-47834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501764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501764</v>
      </c>
      <c r="C2568" s="2" t="s">
        <v>573</v>
      </c>
      <c r="D2568" s="2" t="str">
        <f t="shared" si="39"/>
        <v>Error?</v>
      </c>
    </row>
    <row r="2569" spans="1:4" x14ac:dyDescent="0.2">
      <c r="A2569" s="5">
        <v>2508</v>
      </c>
      <c r="B2569" s="138">
        <f>'Acct Summary 7-8'!D13</f>
        <v>611546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611546</v>
      </c>
      <c r="C2573" s="2" t="s">
        <v>573</v>
      </c>
      <c r="D2573" s="2" t="str">
        <f t="shared" si="39"/>
        <v>Error?</v>
      </c>
    </row>
    <row r="2574" spans="1:4" x14ac:dyDescent="0.2">
      <c r="A2574" s="5">
        <v>2513</v>
      </c>
      <c r="B2574" s="138">
        <f>'Acct Summary 7-8'!D20</f>
        <v>-109782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319637</v>
      </c>
      <c r="C2591" s="2" t="s">
        <v>573</v>
      </c>
      <c r="D2591" s="2" t="str">
        <f t="shared" si="39"/>
        <v>Error?</v>
      </c>
    </row>
    <row r="2592" spans="1:4" x14ac:dyDescent="0.2">
      <c r="A2592" s="10">
        <v>2531</v>
      </c>
      <c r="D2592" s="2" t="str">
        <f t="shared" si="39"/>
        <v>OK</v>
      </c>
    </row>
    <row r="2593" spans="1:4" x14ac:dyDescent="0.2">
      <c r="A2593" s="5">
        <v>2532</v>
      </c>
      <c r="B2593" s="138">
        <f>'Acct Summary 7-8'!F6</f>
        <v>389742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709379</v>
      </c>
      <c r="C2595" s="2" t="s">
        <v>573</v>
      </c>
      <c r="D2595" s="2" t="str">
        <f t="shared" si="39"/>
        <v>Error?</v>
      </c>
    </row>
    <row r="2596" spans="1:4" x14ac:dyDescent="0.2">
      <c r="A2596" s="5">
        <v>2535</v>
      </c>
      <c r="B2596" s="138">
        <f>'Acct Summary 7-8'!F13</f>
        <v>652037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652037</v>
      </c>
      <c r="C2600" s="2" t="s">
        <v>573</v>
      </c>
      <c r="D2600" s="2" t="str">
        <f t="shared" si="39"/>
        <v>Error?</v>
      </c>
    </row>
    <row r="2601" spans="1:4" x14ac:dyDescent="0.2">
      <c r="A2601" s="5">
        <v>2540</v>
      </c>
      <c r="B2601" s="138">
        <f>'Acct Summary 7-8'!F20</f>
        <v>57342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246245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246245</v>
      </c>
      <c r="C2606" s="2" t="s">
        <v>573</v>
      </c>
      <c r="D2606" s="2" t="str">
        <f t="shared" si="39"/>
        <v>Error?</v>
      </c>
    </row>
    <row r="2607" spans="1:4" x14ac:dyDescent="0.2">
      <c r="A2607" s="5">
        <v>2546</v>
      </c>
      <c r="B2607" s="138">
        <f>'Acct Summary 7-8'!G12</f>
        <v>51538</v>
      </c>
      <c r="C2607" s="2" t="s">
        <v>573</v>
      </c>
      <c r="D2607" s="2" t="str">
        <f t="shared" si="39"/>
        <v>Error?</v>
      </c>
    </row>
    <row r="2608" spans="1:4" x14ac:dyDescent="0.2">
      <c r="A2608" s="5">
        <v>2547</v>
      </c>
      <c r="B2608" s="138">
        <f>'Acct Summary 7-8'!G13</f>
        <v>142957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194495</v>
      </c>
      <c r="C2612" s="2" t="s">
        <v>573</v>
      </c>
      <c r="D2612" s="2" t="str">
        <f t="shared" si="39"/>
        <v>Error?</v>
      </c>
    </row>
    <row r="2613" spans="1:4" x14ac:dyDescent="0.2">
      <c r="A2613" s="5">
        <v>2552</v>
      </c>
      <c r="B2613" s="138">
        <f>'Acct Summary 7-8'!G20</f>
        <v>51750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271001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271001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274571</v>
      </c>
      <c r="C2634" s="2" t="s">
        <v>573</v>
      </c>
      <c r="D2634" s="2" t="str">
        <f t="shared" si="40"/>
        <v>Error?</v>
      </c>
    </row>
    <row r="2635" spans="1:4" x14ac:dyDescent="0.2">
      <c r="A2635" s="5">
        <v>2574</v>
      </c>
      <c r="B2635" s="138">
        <f>'Acct Summary 7-8'!E17</f>
        <v>274571</v>
      </c>
      <c r="C2635" s="2" t="s">
        <v>573</v>
      </c>
      <c r="D2635" s="2" t="str">
        <f t="shared" si="40"/>
        <v>Error?</v>
      </c>
    </row>
    <row r="2636" spans="1:4" x14ac:dyDescent="0.2">
      <c r="A2636" s="5">
        <v>2575</v>
      </c>
      <c r="B2636" s="138">
        <f>'Acct Summary 7-8'!E20</f>
        <v>-3570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167198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167198</v>
      </c>
      <c r="C2658" s="2" t="s">
        <v>573</v>
      </c>
      <c r="D2658" s="2" t="str">
        <f t="shared" si="40"/>
        <v>Error?</v>
      </c>
    </row>
    <row r="2659" spans="1:4" x14ac:dyDescent="0.2">
      <c r="A2659" s="5">
        <v>2598</v>
      </c>
      <c r="B2659" s="138">
        <f>'Acct Summary 7-8'!H13</f>
        <v>514287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514287</v>
      </c>
      <c r="C2661" s="2" t="s">
        <v>573</v>
      </c>
      <c r="D2661" s="2" t="str">
        <f t="shared" si="40"/>
        <v>Error?</v>
      </c>
    </row>
    <row r="2662" spans="1:4" x14ac:dyDescent="0.2">
      <c r="A2662" s="5">
        <v>2601</v>
      </c>
      <c r="B2662" s="138">
        <f>'Acct Summary 7-8'!H20</f>
        <v>-347089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19923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1316101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90926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1316101</v>
      </c>
      <c r="D2912" s="2" t="str">
        <f t="shared" si="44"/>
        <v>Error?</v>
      </c>
    </row>
    <row r="2913" spans="1:4" x14ac:dyDescent="0.2">
      <c r="A2913" s="5">
        <v>2852</v>
      </c>
      <c r="B2913" s="138">
        <f>'Assets-Liab 5-6'!I41</f>
        <v>1316101</v>
      </c>
      <c r="C2913" s="2" t="s">
        <v>573</v>
      </c>
      <c r="D2913" s="2" t="str">
        <f t="shared" si="44"/>
        <v>Error?</v>
      </c>
    </row>
    <row r="2914" spans="1:4" x14ac:dyDescent="0.2">
      <c r="A2914" s="5">
        <v>2853</v>
      </c>
      <c r="B2914" s="138">
        <f>'Assets-Liab 5-6'!L33</f>
        <v>90926</v>
      </c>
      <c r="D2914" s="2" t="str">
        <f t="shared" si="44"/>
        <v>Error?</v>
      </c>
    </row>
    <row r="2915" spans="1:4" x14ac:dyDescent="0.2">
      <c r="A2915" s="10">
        <v>2854</v>
      </c>
      <c r="D2915" s="2" t="str">
        <f t="shared" si="44"/>
        <v>OK</v>
      </c>
    </row>
    <row r="2916" spans="1:4" x14ac:dyDescent="0.2">
      <c r="A2916" s="5">
        <v>2855</v>
      </c>
      <c r="B2916" s="138">
        <f>'Assets-Liab 5-6'!L34</f>
        <v>90926</v>
      </c>
      <c r="C2916" s="2" t="s">
        <v>573</v>
      </c>
      <c r="D2916" s="2" t="str">
        <f t="shared" si="44"/>
        <v>Error?</v>
      </c>
    </row>
    <row r="2917" spans="1:4" x14ac:dyDescent="0.2">
      <c r="A2917" s="5">
        <v>2856</v>
      </c>
      <c r="B2917" s="138">
        <f>'Assets-Liab 5-6'!L41</f>
        <v>90926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424495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40500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424495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40500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69978</v>
      </c>
      <c r="D3055" s="2" t="str">
        <f t="shared" si="46"/>
        <v>Error?</v>
      </c>
    </row>
    <row r="3056" spans="1:4" x14ac:dyDescent="0.2">
      <c r="A3056" s="5">
        <v>2995</v>
      </c>
      <c r="B3056" s="138">
        <f>'Expenditures 15-22'!D10</f>
        <v>23194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4985</v>
      </c>
      <c r="D3058" s="2" t="str">
        <f t="shared" si="46"/>
        <v>Error?</v>
      </c>
    </row>
    <row r="3059" spans="1:4" x14ac:dyDescent="0.2">
      <c r="A3059" s="5">
        <v>2998</v>
      </c>
      <c r="B3059" s="138">
        <f>'Expenditures 15-22'!G10</f>
        <v>8820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106977</v>
      </c>
      <c r="C3062" s="2" t="s">
        <v>573</v>
      </c>
      <c r="D3062" s="2" t="str">
        <f t="shared" si="46"/>
        <v>Error?</v>
      </c>
    </row>
    <row r="3063" spans="1:4" x14ac:dyDescent="0.2">
      <c r="A3063" s="10">
        <v>3002</v>
      </c>
      <c r="D3063" s="2" t="str">
        <f t="shared" si="46"/>
        <v>OK</v>
      </c>
    </row>
    <row r="3064" spans="1:4" x14ac:dyDescent="0.2">
      <c r="A3064" s="5">
        <v>3003</v>
      </c>
      <c r="B3064" s="138">
        <f>'Expenditures 15-22'!D219</f>
        <v>1106</v>
      </c>
      <c r="D3064" s="2" t="str">
        <f t="shared" si="46"/>
        <v>Error?</v>
      </c>
    </row>
    <row r="3065" spans="1:4" x14ac:dyDescent="0.2">
      <c r="A3065" s="5">
        <v>3004</v>
      </c>
      <c r="B3065" s="138">
        <f>'Expenditures 15-22'!K219</f>
        <v>1106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12849</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18787</v>
      </c>
      <c r="C3225" s="2" t="s">
        <v>573</v>
      </c>
      <c r="D3225" s="2" t="str">
        <f t="shared" si="49"/>
        <v>Error?</v>
      </c>
    </row>
    <row r="3226" spans="1:4" x14ac:dyDescent="0.2">
      <c r="A3226" s="5">
        <v>3165</v>
      </c>
      <c r="B3226" s="138">
        <f>'Acct Summary 7-8'!I8</f>
        <v>18787</v>
      </c>
      <c r="C3226" s="2" t="s">
        <v>573</v>
      </c>
      <c r="D3226" s="2" t="str">
        <f t="shared" si="49"/>
        <v>Error?</v>
      </c>
    </row>
    <row r="3227" spans="1:4" x14ac:dyDescent="0.2">
      <c r="A3227" s="5">
        <v>3166</v>
      </c>
      <c r="B3227" s="138">
        <f>'Acct Summary 7-8'!I20</f>
        <v>18787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-47834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-109782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57342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51750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12849</v>
      </c>
      <c r="C3274" s="2" t="s">
        <v>573</v>
      </c>
      <c r="D3274" s="2" t="str">
        <f t="shared" si="50"/>
        <v>Error?</v>
      </c>
    </row>
    <row r="3275" spans="1:4" x14ac:dyDescent="0.2">
      <c r="A3275" s="5">
        <v>3214</v>
      </c>
      <c r="B3275" s="138">
        <f>'Acct Summary 7-8'!E75</f>
        <v>8278</v>
      </c>
      <c r="D3275" s="2" t="str">
        <f t="shared" si="50"/>
        <v>Error?</v>
      </c>
    </row>
    <row r="3276" spans="1:4" x14ac:dyDescent="0.2">
      <c r="A3276" s="5">
        <v>3215</v>
      </c>
      <c r="B3276" s="138">
        <f>'Acct Summary 7-8'!E76</f>
        <v>8278</v>
      </c>
      <c r="C3276" s="2" t="s">
        <v>573</v>
      </c>
      <c r="D3276" s="2" t="str">
        <f t="shared" si="50"/>
        <v>Error?</v>
      </c>
    </row>
    <row r="3277" spans="1:4" x14ac:dyDescent="0.2">
      <c r="A3277" s="5">
        <v>3216</v>
      </c>
      <c r="B3277" s="138">
        <f>'Acct Summary 7-8'!E77</f>
        <v>4571</v>
      </c>
      <c r="C3277" s="2" t="s">
        <v>573</v>
      </c>
      <c r="D3277" s="2" t="str">
        <f t="shared" si="50"/>
        <v>Error?</v>
      </c>
    </row>
    <row r="3278" spans="1:4" x14ac:dyDescent="0.2">
      <c r="A3278" s="5">
        <v>3217</v>
      </c>
      <c r="B3278" s="138">
        <f>'Acct Summary 7-8'!E78</f>
        <v>1001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8278</v>
      </c>
      <c r="D3295" s="2" t="str">
        <f t="shared" si="50"/>
        <v>Error?</v>
      </c>
    </row>
    <row r="3296" spans="1:4" x14ac:dyDescent="0.2">
      <c r="A3296" s="5">
        <v>3235</v>
      </c>
      <c r="B3296" s="138">
        <f>'Acct Summary 7-8'!H44</f>
        <v>308278</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308278</v>
      </c>
      <c r="C3299" s="2" t="s">
        <v>573</v>
      </c>
      <c r="D3299" s="2" t="str">
        <f t="shared" si="50"/>
        <v>Error?</v>
      </c>
    </row>
    <row r="3300" spans="1:4" x14ac:dyDescent="0.2">
      <c r="A3300" s="5">
        <v>3239</v>
      </c>
      <c r="B3300" s="138">
        <f>'Acct Summary 7-8'!H78</f>
        <v>-38811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300000</v>
      </c>
      <c r="C3318" s="2" t="s">
        <v>573</v>
      </c>
      <c r="D3318" s="2" t="str">
        <f t="shared" si="50"/>
        <v>Error?</v>
      </c>
    </row>
    <row r="3319" spans="1:4" x14ac:dyDescent="0.2">
      <c r="A3319" s="5">
        <v>3258</v>
      </c>
      <c r="B3319" s="138">
        <f>'Acct Summary 7-8'!I77</f>
        <v>-300000</v>
      </c>
      <c r="C3319" s="2" t="s">
        <v>573</v>
      </c>
      <c r="D3319" s="2" t="str">
        <f t="shared" si="50"/>
        <v>Error?</v>
      </c>
    </row>
    <row r="3320" spans="1:4" x14ac:dyDescent="0.2">
      <c r="A3320" s="5">
        <v>3259</v>
      </c>
      <c r="B3320" s="138">
        <f>'Acct Summary 7-8'!I78</f>
        <v>-281213</v>
      </c>
      <c r="C3320" s="2" t="s">
        <v>573</v>
      </c>
      <c r="D3320" s="2" t="str">
        <f t="shared" si="50"/>
        <v>Error?</v>
      </c>
    </row>
    <row r="3321" spans="1:4" x14ac:dyDescent="0.2">
      <c r="A3321" s="5">
        <v>3260</v>
      </c>
      <c r="B3321" s="138">
        <f>'Acct Summary 7-8'!I79</f>
        <v>1597314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1316101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253716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72273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3780</v>
      </c>
      <c r="D3370" s="2" t="str">
        <f t="shared" si="51"/>
        <v>Error?</v>
      </c>
    </row>
    <row r="3371" spans="1:4" x14ac:dyDescent="0.2">
      <c r="A3371" s="5">
        <v>3310</v>
      </c>
      <c r="B3371" s="138">
        <f>'Expenditures 15-22'!E19</f>
        <v>1940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329769</v>
      </c>
      <c r="C3380" s="2" t="s">
        <v>573</v>
      </c>
      <c r="D3380" s="2" t="str">
        <f t="shared" si="51"/>
        <v>Error?</v>
      </c>
    </row>
    <row r="3381" spans="1:4" x14ac:dyDescent="0.2">
      <c r="A3381" s="5">
        <v>3320</v>
      </c>
      <c r="B3381" s="138">
        <f>'Expenditures 15-22'!K19</f>
        <v>1940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35227</v>
      </c>
      <c r="D3387" s="2" t="str">
        <f t="shared" si="51"/>
        <v>Error?</v>
      </c>
    </row>
    <row r="3388" spans="1:4" x14ac:dyDescent="0.2">
      <c r="A3388" s="5">
        <v>3327</v>
      </c>
      <c r="B3388" s="138">
        <f>'Expenditures 15-22'!D217</f>
        <v>5982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35227</v>
      </c>
      <c r="C3390" s="2" t="s">
        <v>573</v>
      </c>
      <c r="D3390" s="2" t="str">
        <f t="shared" si="51"/>
        <v>Error?</v>
      </c>
    </row>
    <row r="3391" spans="1:4" x14ac:dyDescent="0.2">
      <c r="A3391" s="5">
        <v>3330</v>
      </c>
      <c r="B3391" s="138">
        <f>'Expenditures 15-22'!K217</f>
        <v>5982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445623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292305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42993</v>
      </c>
      <c r="D3417" s="2" t="str">
        <f t="shared" si="52"/>
        <v>Error?</v>
      </c>
    </row>
    <row r="3418" spans="1:4" x14ac:dyDescent="0.2">
      <c r="A3418" s="10">
        <v>3357</v>
      </c>
      <c r="D3418" s="2" t="str">
        <f t="shared" si="52"/>
        <v>OK</v>
      </c>
    </row>
    <row r="3419" spans="1:4" x14ac:dyDescent="0.2">
      <c r="A3419" s="5">
        <v>3358</v>
      </c>
      <c r="B3419" s="138">
        <f>'Assets-Liab 5-6'!F4</f>
        <v>512493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274641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75495</v>
      </c>
      <c r="D3425" s="2" t="str">
        <f t="shared" si="52"/>
        <v>Error?</v>
      </c>
    </row>
    <row r="3426" spans="1:4" x14ac:dyDescent="0.2">
      <c r="A3426" s="10">
        <v>3365</v>
      </c>
      <c r="D3426" s="2" t="str">
        <f t="shared" si="52"/>
        <v>OK</v>
      </c>
    </row>
    <row r="3427" spans="1:4" x14ac:dyDescent="0.2">
      <c r="A3427" s="5">
        <v>3366</v>
      </c>
      <c r="B3427" s="138">
        <f>'Assets-Liab 5-6'!I4</f>
        <v>1316101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90926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155719</v>
      </c>
      <c r="C3446" s="2" t="s">
        <v>573</v>
      </c>
      <c r="D3446" s="2" t="str">
        <f t="shared" si="52"/>
        <v>Error?</v>
      </c>
    </row>
    <row r="3447" spans="1:4" x14ac:dyDescent="0.2">
      <c r="A3447" s="5">
        <v>3386</v>
      </c>
      <c r="B3447" s="138">
        <f>'Tax Sched 23'!D16</f>
        <v>117114</v>
      </c>
      <c r="C3447" s="2" t="s">
        <v>573</v>
      </c>
      <c r="D3447" s="2" t="str">
        <f t="shared" si="52"/>
        <v>Error?</v>
      </c>
    </row>
    <row r="3448" spans="1:4" x14ac:dyDescent="0.2">
      <c r="A3448" s="5">
        <v>3387</v>
      </c>
      <c r="B3448" s="138">
        <f>'Tax Sched 23'!C16</f>
        <v>38605</v>
      </c>
      <c r="D3448" s="2" t="str">
        <f t="shared" si="52"/>
        <v>Error?</v>
      </c>
    </row>
    <row r="3449" spans="1:4" x14ac:dyDescent="0.2">
      <c r="A3449" s="5">
        <v>3388</v>
      </c>
      <c r="B3449" s="138">
        <f>'Tax Sched 23'!F16</f>
        <v>116596</v>
      </c>
      <c r="C3449" s="2" t="s">
        <v>573</v>
      </c>
      <c r="D3449" s="2" t="str">
        <f t="shared" si="52"/>
        <v>Error?</v>
      </c>
    </row>
    <row r="3450" spans="1:4" x14ac:dyDescent="0.2">
      <c r="A3450" s="5">
        <v>3389</v>
      </c>
      <c r="B3450" s="138">
        <f>'Tax Sched 23'!E16</f>
        <v>155201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19923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19923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19923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169017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169017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169017</v>
      </c>
      <c r="D3567" s="2" t="str">
        <f t="shared" si="54"/>
        <v>Error?</v>
      </c>
    </row>
    <row r="3568" spans="1:4" x14ac:dyDescent="0.2">
      <c r="A3568" s="5">
        <v>3507</v>
      </c>
      <c r="B3568" s="138">
        <f>'Assets-Liab 5-6'!K41</f>
        <v>169017</v>
      </c>
      <c r="C3568" s="2" t="s">
        <v>573</v>
      </c>
      <c r="D3568" s="2" t="str">
        <f t="shared" si="54"/>
        <v>Error?</v>
      </c>
    </row>
    <row r="3569" spans="1:4" x14ac:dyDescent="0.2">
      <c r="A3569" s="5">
        <v>3508</v>
      </c>
      <c r="B3569" s="138">
        <f>'Acct Summary 7-8'!K4</f>
        <v>45445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45445</v>
      </c>
      <c r="C3571" s="2" t="s">
        <v>573</v>
      </c>
      <c r="D3571" s="2" t="str">
        <f t="shared" si="54"/>
        <v>Error?</v>
      </c>
    </row>
    <row r="3572" spans="1:4" x14ac:dyDescent="0.2">
      <c r="A3572" s="5">
        <v>3511</v>
      </c>
      <c r="B3572" s="138">
        <f>'Acct Summary 7-8'!K13</f>
        <v>3649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3649</v>
      </c>
      <c r="C3575" s="2" t="s">
        <v>573</v>
      </c>
      <c r="D3575" s="2" t="str">
        <f t="shared" si="54"/>
        <v>Error?</v>
      </c>
    </row>
    <row r="3576" spans="1:4" x14ac:dyDescent="0.2">
      <c r="A3576" s="5">
        <v>3515</v>
      </c>
      <c r="B3576" s="138">
        <f>'Acct Summary 7-8'!K20</f>
        <v>41796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41796</v>
      </c>
      <c r="C3588" s="2" t="s">
        <v>573</v>
      </c>
      <c r="D3588" s="2" t="str">
        <f t="shared" si="55"/>
        <v>Error?</v>
      </c>
    </row>
    <row r="3589" spans="1:4" x14ac:dyDescent="0.2">
      <c r="A3589" s="5">
        <v>3528</v>
      </c>
      <c r="B3589" s="138">
        <f>'Acct Summary 7-8'!K79</f>
        <v>127221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169017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95</v>
      </c>
      <c r="D3632" s="2" t="str">
        <f t="shared" si="55"/>
        <v>Error?</v>
      </c>
    </row>
    <row r="3633" spans="1:4" x14ac:dyDescent="0.2">
      <c r="A3633" s="5">
        <v>3572</v>
      </c>
      <c r="B3633" s="138">
        <f>'Expenditures 15-22'!E350</f>
        <v>95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3554</v>
      </c>
      <c r="D3639" s="2" t="str">
        <f t="shared" si="55"/>
        <v>Error?</v>
      </c>
    </row>
    <row r="3640" spans="1:4" x14ac:dyDescent="0.2">
      <c r="A3640" s="5">
        <v>3579</v>
      </c>
      <c r="B3640" s="138">
        <f>'Expenditures 15-22'!F350</f>
        <v>3554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3554</v>
      </c>
      <c r="C3642" s="2" t="s">
        <v>573</v>
      </c>
      <c r="D3642" s="2" t="str">
        <f t="shared" si="55"/>
        <v>Error?</v>
      </c>
    </row>
    <row r="3643" spans="1:4" x14ac:dyDescent="0.2">
      <c r="A3643" s="5">
        <v>3582</v>
      </c>
      <c r="B3643" s="138">
        <f>'Expenditures 15-22'!F367</f>
        <v>3554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3649</v>
      </c>
      <c r="C3669" s="2" t="s">
        <v>573</v>
      </c>
      <c r="D3669" s="2" t="str">
        <f t="shared" si="56"/>
        <v>Error?</v>
      </c>
    </row>
    <row r="3670" spans="1:4" x14ac:dyDescent="0.2">
      <c r="A3670" s="5">
        <v>3609</v>
      </c>
      <c r="B3670" s="138">
        <f>'Expenditures 15-22'!K350</f>
        <v>3649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3649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3649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41796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44740</v>
      </c>
      <c r="C3725" s="2" t="s">
        <v>573</v>
      </c>
      <c r="D3725" s="2" t="str">
        <f t="shared" si="57"/>
        <v>Error?</v>
      </c>
    </row>
    <row r="3726" spans="1:4" x14ac:dyDescent="0.2">
      <c r="A3726" s="5">
        <v>3665</v>
      </c>
      <c r="B3726" s="138">
        <f>'Tax Sched 23'!D13</f>
        <v>33538</v>
      </c>
      <c r="C3726" s="2" t="s">
        <v>573</v>
      </c>
      <c r="D3726" s="2" t="str">
        <f t="shared" si="57"/>
        <v>Error?</v>
      </c>
    </row>
    <row r="3727" spans="1:4" x14ac:dyDescent="0.2">
      <c r="A3727" s="5">
        <v>3666</v>
      </c>
      <c r="B3727" s="138">
        <f>'Tax Sched 23'!C13</f>
        <v>11202</v>
      </c>
      <c r="D3727" s="2" t="str">
        <f t="shared" si="57"/>
        <v>Error?</v>
      </c>
    </row>
    <row r="3728" spans="1:4" x14ac:dyDescent="0.2">
      <c r="A3728" s="5">
        <v>3667</v>
      </c>
      <c r="B3728" s="138">
        <f>'Tax Sched 23'!F13</f>
        <v>33833</v>
      </c>
      <c r="C3728" s="2" t="s">
        <v>573</v>
      </c>
      <c r="D3728" s="2" t="str">
        <f t="shared" si="57"/>
        <v>Error?</v>
      </c>
    </row>
    <row r="3729" spans="1:4" x14ac:dyDescent="0.2">
      <c r="A3729" s="5">
        <v>3668</v>
      </c>
      <c r="B3729" s="138">
        <f>'Tax Sched 23'!E13</f>
        <v>45035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2481725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8323680</v>
      </c>
      <c r="C4122" s="2" t="s">
        <v>573</v>
      </c>
      <c r="D4122" s="2" t="str">
        <f t="shared" si="63"/>
        <v>Error?</v>
      </c>
    </row>
    <row r="4123" spans="1:4" x14ac:dyDescent="0.2">
      <c r="A4123" s="5">
        <v>4062</v>
      </c>
      <c r="B4123" s="138">
        <f>'Acct Summary 7-8'!D10</f>
        <v>501764</v>
      </c>
      <c r="C4123" s="2" t="s">
        <v>573</v>
      </c>
      <c r="D4123" s="2" t="str">
        <f t="shared" si="63"/>
        <v>Error?</v>
      </c>
    </row>
    <row r="4124" spans="1:4" x14ac:dyDescent="0.2">
      <c r="A4124" s="5">
        <v>4063</v>
      </c>
      <c r="B4124" s="138">
        <f>'Acct Summary 7-8'!E10</f>
        <v>271001</v>
      </c>
      <c r="C4124" s="2" t="s">
        <v>573</v>
      </c>
      <c r="D4124" s="2" t="str">
        <f t="shared" si="63"/>
        <v>Error?</v>
      </c>
    </row>
    <row r="4125" spans="1:4" x14ac:dyDescent="0.2">
      <c r="A4125" s="5">
        <v>4064</v>
      </c>
      <c r="B4125" s="138">
        <f>'Acct Summary 7-8'!F10</f>
        <v>709379</v>
      </c>
      <c r="C4125" s="2" t="s">
        <v>573</v>
      </c>
      <c r="D4125" s="2" t="str">
        <f t="shared" si="63"/>
        <v>Error?</v>
      </c>
    </row>
    <row r="4126" spans="1:4" x14ac:dyDescent="0.2">
      <c r="A4126" s="5">
        <v>4065</v>
      </c>
      <c r="B4126" s="138">
        <f>'Acct Summary 7-8'!G10</f>
        <v>246245</v>
      </c>
      <c r="C4126" s="2" t="s">
        <v>573</v>
      </c>
      <c r="D4126" s="2" t="str">
        <f t="shared" si="63"/>
        <v>Error?</v>
      </c>
    </row>
    <row r="4127" spans="1:4" x14ac:dyDescent="0.2">
      <c r="A4127" s="5">
        <v>4066</v>
      </c>
      <c r="B4127" s="138">
        <f>'Acct Summary 7-8'!H10</f>
        <v>167198</v>
      </c>
      <c r="C4127" s="2" t="s">
        <v>573</v>
      </c>
      <c r="D4127" s="2" t="str">
        <f t="shared" si="63"/>
        <v>Error?</v>
      </c>
    </row>
    <row r="4128" spans="1:4" x14ac:dyDescent="0.2">
      <c r="A4128" s="5">
        <v>4067</v>
      </c>
      <c r="B4128" s="138">
        <f>'Acct Summary 7-8'!I10</f>
        <v>18787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45445</v>
      </c>
      <c r="C4130" s="2" t="s">
        <v>573</v>
      </c>
      <c r="D4130" s="2" t="str">
        <f t="shared" si="63"/>
        <v>Error?</v>
      </c>
    </row>
    <row r="4131" spans="1:4" x14ac:dyDescent="0.2">
      <c r="A4131" s="5">
        <v>4070</v>
      </c>
      <c r="B4131" s="138">
        <f>'Acct Summary 7-8'!C18</f>
        <v>2481725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8371514</v>
      </c>
      <c r="C4136" s="2" t="s">
        <v>573</v>
      </c>
      <c r="D4136" s="2" t="str">
        <f t="shared" si="63"/>
        <v>Error?</v>
      </c>
    </row>
    <row r="4137" spans="1:4" x14ac:dyDescent="0.2">
      <c r="A4137" s="5">
        <v>4076</v>
      </c>
      <c r="B4137" s="138">
        <f>'Acct Summary 7-8'!D19</f>
        <v>611546</v>
      </c>
      <c r="C4137" s="2" t="s">
        <v>573</v>
      </c>
      <c r="D4137" s="2" t="str">
        <f t="shared" si="63"/>
        <v>Error?</v>
      </c>
    </row>
    <row r="4138" spans="1:4" x14ac:dyDescent="0.2">
      <c r="A4138" s="5">
        <v>4077</v>
      </c>
      <c r="B4138" s="138">
        <f>'Acct Summary 7-8'!E19</f>
        <v>274571</v>
      </c>
      <c r="C4138" s="2" t="s">
        <v>573</v>
      </c>
      <c r="D4138" s="2" t="str">
        <f t="shared" si="63"/>
        <v>Error?</v>
      </c>
    </row>
    <row r="4139" spans="1:4" x14ac:dyDescent="0.2">
      <c r="A4139" s="5">
        <v>4078</v>
      </c>
      <c r="B4139" s="138">
        <f>'Acct Summary 7-8'!F19</f>
        <v>652037</v>
      </c>
      <c r="C4139" s="2" t="s">
        <v>573</v>
      </c>
      <c r="D4139" s="2" t="str">
        <f t="shared" si="63"/>
        <v>Error?</v>
      </c>
    </row>
    <row r="4140" spans="1:4" x14ac:dyDescent="0.2">
      <c r="A4140" s="5">
        <v>4079</v>
      </c>
      <c r="B4140" s="138">
        <f>'Acct Summary 7-8'!G19</f>
        <v>194495</v>
      </c>
      <c r="C4140" s="2" t="s">
        <v>573</v>
      </c>
      <c r="D4140" s="2" t="str">
        <f t="shared" si="63"/>
        <v>Error?</v>
      </c>
    </row>
    <row r="4141" spans="1:4" x14ac:dyDescent="0.2">
      <c r="A4141" s="5">
        <v>4080</v>
      </c>
      <c r="B4141" s="138">
        <f>'Acct Summary 7-8'!H19</f>
        <v>514287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3649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528705</v>
      </c>
      <c r="C4171" s="2" t="s">
        <v>573</v>
      </c>
      <c r="D4171" s="2" t="str">
        <f t="shared" si="64"/>
        <v>Error?</v>
      </c>
    </row>
    <row r="4172" spans="1:4" x14ac:dyDescent="0.2">
      <c r="A4172" s="5">
        <v>4111</v>
      </c>
      <c r="B4172" s="138">
        <f>'Short-Term Long-Term Debt 24'!J49</f>
        <v>485712</v>
      </c>
      <c r="C4172" s="2" t="s">
        <v>573</v>
      </c>
      <c r="D4172" s="2" t="str">
        <f t="shared" si="64"/>
        <v>Error?</v>
      </c>
    </row>
    <row r="4173" spans="1:4" x14ac:dyDescent="0.2">
      <c r="A4173" s="5">
        <v>4112</v>
      </c>
      <c r="B4173" s="138">
        <f>'Short-Term Long-Term Debt 24'!H49</f>
        <v>249144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5659</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3599.9999999999995</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4350</v>
      </c>
      <c r="C4268" s="2" t="s">
        <v>573</v>
      </c>
      <c r="D4268" s="2" t="str">
        <f t="shared" si="65"/>
        <v>Error?</v>
      </c>
    </row>
    <row r="4269" spans="1:5" x14ac:dyDescent="0.2">
      <c r="A4269" s="12">
        <v>4208</v>
      </c>
      <c r="B4269" s="138">
        <f>'FP Info 3'!J16</f>
        <v>2566522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3203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22920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7578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92072426</v>
      </c>
      <c r="D4995" s="2" t="str">
        <f t="shared" si="77"/>
        <v>Error?</v>
      </c>
    </row>
    <row r="4996" spans="1:4" x14ac:dyDescent="0.2">
      <c r="A4996" s="12">
        <v>4935</v>
      </c>
      <c r="B4996" s="138">
        <f>'FP Info 3'!H31</f>
        <v>12705994.788000001</v>
      </c>
      <c r="D4996" s="2" t="str">
        <f t="shared" si="77"/>
        <v>Error?</v>
      </c>
    </row>
    <row r="4997" spans="1:4" x14ac:dyDescent="0.2">
      <c r="A4997" s="12">
        <v>4936</v>
      </c>
      <c r="B4997" s="138">
        <f>'FP Info 3'!H37</f>
        <v>528705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44740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3221822</v>
      </c>
      <c r="D5061" s="2" t="str">
        <f t="shared" si="78"/>
        <v>Error?</v>
      </c>
    </row>
    <row r="5062" spans="1:4" x14ac:dyDescent="0.2">
      <c r="A5062" s="10">
        <v>5001</v>
      </c>
      <c r="D5062" s="2" t="str">
        <f t="shared" si="78"/>
        <v>OK</v>
      </c>
    </row>
    <row r="5063" spans="1:4" x14ac:dyDescent="0.2">
      <c r="A5063" s="5">
        <v>5002</v>
      </c>
      <c r="B5063" s="138">
        <f>'Revenues 9-14'!C7</f>
        <v>35805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3302367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314312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314312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2703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2703</v>
      </c>
      <c r="C5090" s="2" t="s">
        <v>573</v>
      </c>
      <c r="D5090" s="2" t="str">
        <f t="shared" si="78"/>
        <v>Error?</v>
      </c>
    </row>
    <row r="5091" spans="1:4" x14ac:dyDescent="0.2">
      <c r="A5091" s="5">
        <v>5030</v>
      </c>
      <c r="B5091" s="138">
        <f>'Revenues 9-14'!C70</f>
        <v>6190</v>
      </c>
      <c r="D5091" s="2" t="str">
        <f t="shared" si="78"/>
        <v>Error?</v>
      </c>
    </row>
    <row r="5092" spans="1:4" x14ac:dyDescent="0.2">
      <c r="A5092" s="5">
        <v>5031</v>
      </c>
      <c r="B5092" s="138">
        <f>'Revenues 9-14'!C71</f>
        <v>2910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122933</v>
      </c>
      <c r="C5096" s="2" t="s">
        <v>573</v>
      </c>
      <c r="D5096" s="2" t="str">
        <f t="shared" si="78"/>
        <v>Error?</v>
      </c>
    </row>
    <row r="5097" spans="1:4" x14ac:dyDescent="0.2">
      <c r="A5097" s="5">
        <v>5036</v>
      </c>
      <c r="B5097" s="138">
        <f>'Revenues 9-14'!C77</f>
        <v>13612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12671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3087</v>
      </c>
      <c r="D5101" s="2" t="str">
        <f t="shared" si="78"/>
        <v>Error?</v>
      </c>
    </row>
    <row r="5102" spans="1:4" x14ac:dyDescent="0.2">
      <c r="A5102" s="5">
        <v>5041</v>
      </c>
      <c r="B5102" s="138">
        <f>'Revenues 9-14'!C82</f>
        <v>29370</v>
      </c>
      <c r="C5102" s="2" t="s">
        <v>573</v>
      </c>
      <c r="D5102" s="2" t="str">
        <f t="shared" si="78"/>
        <v>Error?</v>
      </c>
    </row>
    <row r="5103" spans="1:4" x14ac:dyDescent="0.2">
      <c r="A5103" s="5">
        <v>5042</v>
      </c>
      <c r="B5103" s="138">
        <f>'Revenues 9-14'!C84</f>
        <v>26083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26083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80742</v>
      </c>
      <c r="D5119" s="2" t="str">
        <f t="shared" ref="D5119:D5182" si="79">IF(ISBLANK(B5119),"OK",IF(A5119-B5119=0,"OK","Error?"))</f>
        <v>Error?</v>
      </c>
    </row>
    <row r="5120" spans="1:4" x14ac:dyDescent="0.2">
      <c r="A5120" s="5">
        <v>5059</v>
      </c>
      <c r="B5120" s="138">
        <f>'Revenues 9-14'!C108</f>
        <v>84701</v>
      </c>
      <c r="C5120" s="2" t="s">
        <v>573</v>
      </c>
      <c r="D5120" s="2" t="str">
        <f t="shared" si="79"/>
        <v>Error?</v>
      </c>
    </row>
    <row r="5121" spans="1:4" x14ac:dyDescent="0.2">
      <c r="A5121" s="5">
        <v>5060</v>
      </c>
      <c r="B5121" s="138">
        <f>'Revenues 9-14'!C109</f>
        <v>3882469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1503671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1503671</v>
      </c>
      <c r="C5132" s="2" t="s">
        <v>573</v>
      </c>
      <c r="D5132" s="2" t="str">
        <f t="shared" si="79"/>
        <v>Error?</v>
      </c>
    </row>
    <row r="5133" spans="1:4" x14ac:dyDescent="0.2">
      <c r="A5133" s="5">
        <v>5072</v>
      </c>
      <c r="B5133" s="138">
        <f>'Revenues 9-14'!C125</f>
        <v>8727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8727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5659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2822</v>
      </c>
      <c r="D5167" s="2" t="str">
        <f t="shared" si="79"/>
        <v>Error?</v>
      </c>
    </row>
    <row r="5168" spans="1:4" x14ac:dyDescent="0.2">
      <c r="A5168" s="5">
        <v>5107</v>
      </c>
      <c r="B5168" s="138">
        <f>'Revenues 9-14'!C148</f>
        <v>11475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29433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1533104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132087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36982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169069</v>
      </c>
      <c r="C5246" s="2" t="s">
        <v>573</v>
      </c>
      <c r="D5246" s="2" t="str">
        <f t="shared" si="80"/>
        <v>Error?</v>
      </c>
    </row>
    <row r="5247" spans="1:4" x14ac:dyDescent="0.2">
      <c r="A5247" s="5">
        <v>5186</v>
      </c>
      <c r="B5247" s="138">
        <f>'Revenues 9-14'!C200</f>
        <v>127335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127335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7422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78855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86277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426382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426382</v>
      </c>
      <c r="C5326" s="2" t="s">
        <v>573</v>
      </c>
      <c r="D5326" s="2" t="str">
        <f t="shared" si="82"/>
        <v>Error?</v>
      </c>
    </row>
    <row r="5327" spans="1:5" x14ac:dyDescent="0.2">
      <c r="A5327" s="5">
        <v>5266</v>
      </c>
      <c r="B5327" s="138">
        <f>'Revenues 9-14'!C268</f>
        <v>5841955</v>
      </c>
      <c r="C5327" s="2" t="s">
        <v>573</v>
      </c>
      <c r="D5327" s="2" t="str">
        <f t="shared" si="82"/>
        <v>Error?</v>
      </c>
    </row>
    <row r="5328" spans="1:5" x14ac:dyDescent="0.2">
      <c r="A5328" s="5">
        <v>5267</v>
      </c>
      <c r="B5328" s="138">
        <f>'Revenues 9-14'!D5</f>
        <v>492226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492226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2171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2171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7367</v>
      </c>
      <c r="D5354" s="2" t="str">
        <f t="shared" si="82"/>
        <v>Error?</v>
      </c>
    </row>
    <row r="5355" spans="1:4" x14ac:dyDescent="0.2">
      <c r="A5355" s="5">
        <v>5294</v>
      </c>
      <c r="B5355" s="138">
        <f>'Revenues 9-14'!D108</f>
        <v>7367</v>
      </c>
      <c r="C5355" s="2" t="s">
        <v>573</v>
      </c>
      <c r="D5355" s="2" t="str">
        <f t="shared" si="82"/>
        <v>Error?</v>
      </c>
    </row>
    <row r="5356" spans="1:4" x14ac:dyDescent="0.2">
      <c r="A5356" s="5">
        <v>5295</v>
      </c>
      <c r="B5356" s="138">
        <f>'Revenues 9-14'!D109</f>
        <v>501764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501764</v>
      </c>
      <c r="C5508" s="2" t="s">
        <v>573</v>
      </c>
      <c r="D5508" s="2" t="str">
        <f t="shared" si="85"/>
        <v>Error?</v>
      </c>
    </row>
    <row r="5509" spans="1:4" x14ac:dyDescent="0.2">
      <c r="A5509" s="5">
        <v>5448</v>
      </c>
      <c r="B5509" s="138">
        <f>'Revenues 9-14'!E5</f>
        <v>165081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165081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105687</v>
      </c>
      <c r="C5526" s="2" t="s">
        <v>573</v>
      </c>
      <c r="D5526" s="2" t="str">
        <f t="shared" si="85"/>
        <v>Error?</v>
      </c>
    </row>
    <row r="5527" spans="1:4" x14ac:dyDescent="0.2">
      <c r="A5527" s="5">
        <v>5466</v>
      </c>
      <c r="B5527" s="138">
        <f>'Revenues 9-14'!E109</f>
        <v>271001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271001</v>
      </c>
      <c r="C5552" s="2" t="s">
        <v>573</v>
      </c>
      <c r="D5552" s="2" t="str">
        <f t="shared" si="85"/>
        <v>Error?</v>
      </c>
    </row>
    <row r="5553" spans="1:4" x14ac:dyDescent="0.2">
      <c r="A5553" s="5">
        <v>5492</v>
      </c>
      <c r="B5553" s="138">
        <f>'Revenues 9-14'!F5</f>
        <v>178981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178981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135000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2521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3135</v>
      </c>
      <c r="D5586" s="2" t="str">
        <f t="shared" si="86"/>
        <v>Error?</v>
      </c>
    </row>
    <row r="5587" spans="1:4" x14ac:dyDescent="0.2">
      <c r="A5587" s="5">
        <v>5526</v>
      </c>
      <c r="B5587" s="138">
        <f>'Revenues 9-14'!F108</f>
        <v>3135</v>
      </c>
      <c r="C5587" s="2" t="s">
        <v>573</v>
      </c>
      <c r="D5587" s="2" t="str">
        <f t="shared" si="86"/>
        <v>Error?</v>
      </c>
    </row>
    <row r="5588" spans="1:4" x14ac:dyDescent="0.2">
      <c r="A5588" s="5">
        <v>5527</v>
      </c>
      <c r="B5588" s="138">
        <f>'Revenues 9-14'!F109</f>
        <v>319637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259522</v>
      </c>
      <c r="D5615" s="2" t="str">
        <f t="shared" si="86"/>
        <v>Error?</v>
      </c>
    </row>
    <row r="5616" spans="1:4" x14ac:dyDescent="0.2">
      <c r="A5616" s="10">
        <v>5555</v>
      </c>
      <c r="D5616" s="2" t="str">
        <f t="shared" si="86"/>
        <v>OK</v>
      </c>
    </row>
    <row r="5617" spans="1:5" x14ac:dyDescent="0.2">
      <c r="A5617" s="5">
        <v>5556</v>
      </c>
      <c r="B5617" s="138">
        <f>'Revenues 9-14'!F153</f>
        <v>130220</v>
      </c>
      <c r="D5617" s="2" t="str">
        <f t="shared" si="86"/>
        <v>Error?</v>
      </c>
    </row>
    <row r="5618" spans="1:5" x14ac:dyDescent="0.2">
      <c r="A5618" s="5">
        <v>5557</v>
      </c>
      <c r="B5618" s="138">
        <f>'Revenues 9-14'!F155</f>
        <v>389742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389742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389742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709379</v>
      </c>
      <c r="C5720" s="2" t="s">
        <v>573</v>
      </c>
      <c r="D5720" s="2" t="str">
        <f t="shared" si="88"/>
        <v>Error?</v>
      </c>
    </row>
    <row r="5721" spans="1:4" x14ac:dyDescent="0.2">
      <c r="A5721" s="5">
        <v>5660</v>
      </c>
      <c r="B5721" s="138">
        <f>'Revenues 9-14'!G5</f>
        <v>82392</v>
      </c>
      <c r="D5721" s="2" t="str">
        <f t="shared" si="88"/>
        <v>Error?</v>
      </c>
    </row>
    <row r="5722" spans="1:4" x14ac:dyDescent="0.2">
      <c r="A5722" s="5">
        <v>5661</v>
      </c>
      <c r="B5722" s="138">
        <f>'Revenues 9-14'!G7</f>
        <v>0</v>
      </c>
      <c r="D5722" s="2" t="str">
        <f t="shared" si="88"/>
        <v>Error?</v>
      </c>
    </row>
    <row r="5723" spans="1:4" x14ac:dyDescent="0.2">
      <c r="A5723" s="5">
        <v>5662</v>
      </c>
      <c r="B5723" s="138">
        <f>'Revenues 9-14'!G8</f>
        <v>155719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238111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6900</v>
      </c>
      <c r="C5730" s="2" t="s">
        <v>573</v>
      </c>
      <c r="D5730" s="2" t="str">
        <f t="shared" si="88"/>
        <v>Error?</v>
      </c>
    </row>
    <row r="5731" spans="1:4" x14ac:dyDescent="0.2">
      <c r="A5731" s="5">
        <v>5670</v>
      </c>
      <c r="B5731" s="138">
        <f>'Revenues 9-14'!G65</f>
        <v>1234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246245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688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166510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167198</v>
      </c>
      <c r="C5915" s="2" t="s">
        <v>573</v>
      </c>
      <c r="D5915" s="2" t="str">
        <f t="shared" si="91"/>
        <v>Error?</v>
      </c>
    </row>
    <row r="5916" spans="1:4" x14ac:dyDescent="0.2">
      <c r="A5916" s="5">
        <v>5855</v>
      </c>
      <c r="B5916" s="138">
        <f>'Revenues 9-14'!I5</f>
        <v>9940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9940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8847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8847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18787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44740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44740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705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45445</v>
      </c>
      <c r="C6023" s="2" t="s">
        <v>573</v>
      </c>
      <c r="D6023" s="2" t="str">
        <f t="shared" si="93"/>
        <v>Error?</v>
      </c>
    </row>
    <row r="6024" spans="1:5" x14ac:dyDescent="0.2">
      <c r="A6024" s="5">
        <v>5963</v>
      </c>
      <c r="B6024" s="138">
        <f>'Revenues 9-14'!G109</f>
        <v>246245</v>
      </c>
      <c r="C6024" s="2" t="s">
        <v>573</v>
      </c>
      <c r="D6024" s="2" t="str">
        <f t="shared" si="93"/>
        <v>Error?</v>
      </c>
    </row>
    <row r="6025" spans="1:5" x14ac:dyDescent="0.2">
      <c r="A6025" s="5">
        <v>5964</v>
      </c>
      <c r="B6025" s="138">
        <f>'Revenues 9-14'!H109</f>
        <v>167198</v>
      </c>
      <c r="C6025" s="2" t="s">
        <v>573</v>
      </c>
      <c r="D6025" s="2" t="str">
        <f t="shared" si="93"/>
        <v>Error?</v>
      </c>
    </row>
    <row r="6026" spans="1:5" x14ac:dyDescent="0.2">
      <c r="A6026" s="5">
        <v>5965</v>
      </c>
      <c r="B6026" s="138">
        <f>'Revenues 9-14'!I109</f>
        <v>18787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45445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113833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21618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625.5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190318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190318</v>
      </c>
      <c r="D6215" s="2" t="str">
        <f t="shared" si="96"/>
        <v>Error?</v>
      </c>
      <c r="E6215" s="2" t="s">
        <v>190</v>
      </c>
    </row>
    <row r="6216" spans="1:5" x14ac:dyDescent="0.2">
      <c r="A6216">
        <v>6155</v>
      </c>
      <c r="B6216" s="138">
        <f>'Assets-Liab 5-6'!J41</f>
        <v>190318</v>
      </c>
      <c r="D6216" s="2" t="str">
        <f t="shared" si="96"/>
        <v>Error?</v>
      </c>
      <c r="E6216" s="2" t="s">
        <v>190</v>
      </c>
    </row>
    <row r="6217" spans="1:5" x14ac:dyDescent="0.2">
      <c r="A6217">
        <v>6156</v>
      </c>
      <c r="B6217" s="138">
        <f>'Assets-Liab 5-6'!J4</f>
        <v>190318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195745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195745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195745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163983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163983</v>
      </c>
      <c r="D6229" s="2" t="str">
        <f t="shared" si="96"/>
        <v>Error?</v>
      </c>
      <c r="E6229" s="2" t="s">
        <v>190</v>
      </c>
    </row>
    <row r="6230" spans="1:5" x14ac:dyDescent="0.2">
      <c r="A6230">
        <v>6169</v>
      </c>
      <c r="B6230" s="138">
        <f>'Acct Summary 7-8'!J20</f>
        <v>31762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31762</v>
      </c>
      <c r="D6263" s="2" t="str">
        <f t="shared" si="96"/>
        <v>Error?</v>
      </c>
      <c r="E6263" s="2" t="s">
        <v>190</v>
      </c>
    </row>
    <row r="6264" spans="1:5" x14ac:dyDescent="0.2">
      <c r="A6264">
        <v>6203</v>
      </c>
      <c r="B6264" s="138">
        <f>'Acct Summary 7-8'!J79</f>
        <v>158556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190318</v>
      </c>
      <c r="D6266" s="2" t="str">
        <f t="shared" si="96"/>
        <v>Error?</v>
      </c>
      <c r="E6266" s="2" t="s">
        <v>190</v>
      </c>
    </row>
    <row r="6267" spans="1:5" x14ac:dyDescent="0.2">
      <c r="A6267">
        <v>6206</v>
      </c>
      <c r="B6267" s="138">
        <f>'Acct Summary 7-8'!C82</f>
        <v>-47834</v>
      </c>
      <c r="D6267" s="2" t="str">
        <f t="shared" si="96"/>
        <v>Error?</v>
      </c>
      <c r="E6267" s="2" t="s">
        <v>190</v>
      </c>
    </row>
    <row r="6268" spans="1:5" x14ac:dyDescent="0.2">
      <c r="A6268">
        <v>6207</v>
      </c>
      <c r="B6268" s="138">
        <f>'Acct Summary 7-8'!D82</f>
        <v>-109782</v>
      </c>
      <c r="D6268" s="2" t="str">
        <f t="shared" si="96"/>
        <v>Error?</v>
      </c>
      <c r="E6268" s="2" t="s">
        <v>190</v>
      </c>
    </row>
    <row r="6269" spans="1:5" x14ac:dyDescent="0.2">
      <c r="A6269">
        <v>6208</v>
      </c>
      <c r="B6269" s="138">
        <f>'Acct Summary 7-8'!E82</f>
        <v>1001</v>
      </c>
      <c r="D6269" s="2" t="str">
        <f t="shared" si="96"/>
        <v>Error?</v>
      </c>
      <c r="E6269" s="2" t="s">
        <v>190</v>
      </c>
    </row>
    <row r="6270" spans="1:5" x14ac:dyDescent="0.2">
      <c r="A6270">
        <v>6209</v>
      </c>
      <c r="B6270" s="138">
        <f>'Acct Summary 7-8'!F82</f>
        <v>57342</v>
      </c>
      <c r="D6270" s="2" t="str">
        <f t="shared" si="96"/>
        <v>Error?</v>
      </c>
      <c r="E6270" s="2" t="s">
        <v>190</v>
      </c>
    </row>
    <row r="6271" spans="1:5" x14ac:dyDescent="0.2">
      <c r="A6271">
        <v>6210</v>
      </c>
      <c r="B6271" s="138">
        <f>'Acct Summary 7-8'!G82</f>
        <v>51750</v>
      </c>
      <c r="D6271" s="2" t="str">
        <f t="shared" ref="D6271:D6334" si="97">IF(ISBLANK(B6271),"OK",IF(A6271-B6271=0,"OK","Error?"))</f>
        <v>Error?</v>
      </c>
      <c r="E6271" s="2" t="s">
        <v>190</v>
      </c>
    </row>
    <row r="6272" spans="1:5" x14ac:dyDescent="0.2">
      <c r="A6272">
        <v>6211</v>
      </c>
      <c r="B6272" s="138">
        <f>'Acct Summary 7-8'!H82</f>
        <v>-38811</v>
      </c>
      <c r="D6272" s="2" t="str">
        <f t="shared" si="97"/>
        <v>Error?</v>
      </c>
      <c r="E6272" s="2" t="s">
        <v>190</v>
      </c>
    </row>
    <row r="6273" spans="1:5" x14ac:dyDescent="0.2">
      <c r="A6273">
        <v>6212</v>
      </c>
      <c r="B6273" s="138">
        <f>'Acct Summary 7-8'!I82</f>
        <v>-281213</v>
      </c>
      <c r="D6273" s="2" t="str">
        <f t="shared" si="97"/>
        <v>Error?</v>
      </c>
      <c r="E6273" s="2" t="s">
        <v>190</v>
      </c>
    </row>
    <row r="6274" spans="1:5" x14ac:dyDescent="0.2">
      <c r="A6274">
        <v>6213</v>
      </c>
      <c r="B6274" s="138">
        <f>'Acct Summary 7-8'!J82</f>
        <v>31762</v>
      </c>
      <c r="D6274" s="2" t="str">
        <f t="shared" si="97"/>
        <v>Error?</v>
      </c>
      <c r="E6274" s="2" t="s">
        <v>190</v>
      </c>
    </row>
    <row r="6275" spans="1:5" x14ac:dyDescent="0.2">
      <c r="A6275">
        <v>6214</v>
      </c>
      <c r="B6275" s="138">
        <f>'Acct Summary 7-8'!K82</f>
        <v>41796</v>
      </c>
      <c r="D6275" s="2" t="str">
        <f t="shared" si="97"/>
        <v>Error?</v>
      </c>
      <c r="E6275" s="2" t="s">
        <v>190</v>
      </c>
    </row>
    <row r="6276" spans="1:5" x14ac:dyDescent="0.2">
      <c r="A6276">
        <v>6215</v>
      </c>
      <c r="B6276" s="138">
        <f>'Acct Summary 7-8'!C83</f>
        <v>-0.10734185623273484</v>
      </c>
      <c r="D6276" s="2" t="str">
        <f t="shared" si="97"/>
        <v>Error?</v>
      </c>
      <c r="E6276" s="2" t="s">
        <v>190</v>
      </c>
    </row>
    <row r="6277" spans="1:5" x14ac:dyDescent="0.2">
      <c r="A6277">
        <v>6216</v>
      </c>
      <c r="B6277" s="138">
        <f>'Acct Summary 7-8'!D83</f>
        <v>-0.37557345922922974</v>
      </c>
      <c r="D6277" s="2" t="str">
        <f t="shared" si="97"/>
        <v>Error?</v>
      </c>
      <c r="E6277" s="2" t="s">
        <v>190</v>
      </c>
    </row>
    <row r="6278" spans="1:5" x14ac:dyDescent="0.2">
      <c r="A6278">
        <v>6217</v>
      </c>
      <c r="B6278" s="138">
        <f>'Acct Summary 7-8'!E83</f>
        <v>2.3282860000465193E-2</v>
      </c>
      <c r="D6278" s="2" t="str">
        <f t="shared" si="97"/>
        <v>Error?</v>
      </c>
      <c r="E6278" s="2" t="s">
        <v>190</v>
      </c>
    </row>
    <row r="6279" spans="1:5" x14ac:dyDescent="0.2">
      <c r="A6279">
        <v>6218</v>
      </c>
      <c r="B6279" s="138">
        <f>'Acct Summary 7-8'!F83</f>
        <v>0.11188835749951706</v>
      </c>
      <c r="D6279" s="2" t="str">
        <f t="shared" si="97"/>
        <v>Error?</v>
      </c>
      <c r="E6279" s="2" t="s">
        <v>190</v>
      </c>
    </row>
    <row r="6280" spans="1:5" x14ac:dyDescent="0.2">
      <c r="A6280">
        <v>6219</v>
      </c>
      <c r="B6280" s="138">
        <f>'Acct Summary 7-8'!G83</f>
        <v>0.18842780211257606</v>
      </c>
      <c r="D6280" s="2" t="str">
        <f t="shared" si="97"/>
        <v>Error?</v>
      </c>
      <c r="E6280" s="2" t="s">
        <v>190</v>
      </c>
    </row>
    <row r="6281" spans="1:5" x14ac:dyDescent="0.2">
      <c r="A6281">
        <v>6220</v>
      </c>
      <c r="B6281" s="138">
        <f>'Acct Summary 7-8'!H83</f>
        <v>-0.51408702563083652</v>
      </c>
      <c r="D6281" s="2" t="str">
        <f t="shared" si="97"/>
        <v>Error?</v>
      </c>
      <c r="E6281" s="2" t="s">
        <v>190</v>
      </c>
    </row>
    <row r="6282" spans="1:5" x14ac:dyDescent="0.2">
      <c r="A6282">
        <v>6221</v>
      </c>
      <c r="B6282" s="138">
        <f>'Acct Summary 7-8'!I83</f>
        <v>-0.213671291185099</v>
      </c>
      <c r="D6282" s="2" t="str">
        <f t="shared" si="97"/>
        <v>Error?</v>
      </c>
      <c r="E6282" s="2" t="s">
        <v>190</v>
      </c>
    </row>
    <row r="6283" spans="1:5" x14ac:dyDescent="0.2">
      <c r="A6283">
        <v>6222</v>
      </c>
      <c r="B6283" s="138">
        <f>'Acct Summary 7-8'!J83</f>
        <v>0.16688910139871163</v>
      </c>
      <c r="D6283" s="2" t="str">
        <f t="shared" si="97"/>
        <v>Error?</v>
      </c>
      <c r="E6283" s="2" t="s">
        <v>190</v>
      </c>
    </row>
    <row r="6284" spans="1:5" x14ac:dyDescent="0.2">
      <c r="A6284">
        <v>6223</v>
      </c>
      <c r="B6284" s="138">
        <f>'Acct Summary 7-8'!K83</f>
        <v>0.24728873426933384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194867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194867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878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878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3959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195745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76245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89518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42125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163983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195745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169065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169065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169065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3872</v>
      </c>
      <c r="D7073" s="2" t="str">
        <f t="shared" si="109"/>
        <v>Error?</v>
      </c>
    </row>
    <row r="7074" spans="1:4" x14ac:dyDescent="0.2">
      <c r="A7074">
        <v>7013</v>
      </c>
      <c r="B7074" s="138">
        <f>'Expenditures 15-22'!K216</f>
        <v>3872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548</v>
      </c>
      <c r="D7079" s="2" t="str">
        <f t="shared" si="109"/>
        <v>Error?</v>
      </c>
    </row>
    <row r="7080" spans="1:4" x14ac:dyDescent="0.2">
      <c r="A7080">
        <v>7019</v>
      </c>
      <c r="B7080" s="138">
        <f>'Expenditures 15-22'!K226</f>
        <v>548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57478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57478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81550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81550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12608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12608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12347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12347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163983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163983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163983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163983</v>
      </c>
      <c r="D7224" s="2" t="str">
        <f t="shared" si="111"/>
        <v>Error?</v>
      </c>
    </row>
    <row r="7225" spans="1:4" x14ac:dyDescent="0.2">
      <c r="A7225">
        <v>7164</v>
      </c>
      <c r="B7225" s="138">
        <f>'Expenditures 15-22'!K343</f>
        <v>31762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13273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37769</v>
      </c>
      <c r="D7263" s="2" t="str">
        <f t="shared" si="112"/>
        <v>Error?</v>
      </c>
    </row>
    <row r="7264" spans="1:4" x14ac:dyDescent="0.2">
      <c r="A7264">
        <f t="shared" si="113"/>
        <v>7203</v>
      </c>
      <c r="B7264" s="138">
        <f>'Expenditures 15-22'!D17</f>
        <v>4356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169065</v>
      </c>
      <c r="D7624" s="2" t="str">
        <f t="shared" si="124"/>
        <v>Error?</v>
      </c>
      <c r="E7624" s="2" t="s">
        <v>19</v>
      </c>
    </row>
    <row r="7625" spans="1:5" x14ac:dyDescent="0.2">
      <c r="A7625">
        <f t="shared" si="123"/>
        <v>7564</v>
      </c>
      <c r="B7625" s="138">
        <f>'Cap Outlay Deprec 26'!I17</f>
        <v>16906.5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310926.5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3959</v>
      </c>
      <c r="D7712" s="2" t="str">
        <f t="shared" si="126"/>
        <v>Error?</v>
      </c>
      <c r="E7712" s="2" t="s">
        <v>827</v>
      </c>
    </row>
    <row r="7713" spans="1:6" x14ac:dyDescent="0.2">
      <c r="A7713">
        <v>7652</v>
      </c>
      <c r="B7713" s="138">
        <f>'Rest Tax Levies-Tort Im 25'!J8</f>
        <v>272197</v>
      </c>
      <c r="D7713" s="2" t="str">
        <f t="shared" si="126"/>
        <v>Error?</v>
      </c>
      <c r="E7713" s="2" t="s">
        <v>827</v>
      </c>
    </row>
    <row r="7714" spans="1:6" x14ac:dyDescent="0.2">
      <c r="A7714">
        <v>7653</v>
      </c>
      <c r="B7714" s="138">
        <f>'Rest Tax Levies-Tort Im 25'!K9</f>
        <v>11475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272197</v>
      </c>
      <c r="D7718" s="2" t="str">
        <f t="shared" si="126"/>
        <v>Error?</v>
      </c>
      <c r="E7718" s="2" t="s">
        <v>827</v>
      </c>
    </row>
    <row r="7719" spans="1:6" x14ac:dyDescent="0.2">
      <c r="A7719">
        <v>7658</v>
      </c>
      <c r="B7719" s="138">
        <f>'Rest Tax Levies-Tort Im 25'!K12</f>
        <v>15434</v>
      </c>
      <c r="D7719" s="2" t="str">
        <f t="shared" si="126"/>
        <v>Error?</v>
      </c>
      <c r="E7719" s="2" t="s">
        <v>827</v>
      </c>
    </row>
    <row r="7720" spans="1:6" x14ac:dyDescent="0.2">
      <c r="A7720">
        <v>7659</v>
      </c>
      <c r="B7720" s="138">
        <f>'Rest Tax Levies-Tort Im 25'!H14</f>
        <v>35805</v>
      </c>
      <c r="D7720" s="2" t="str">
        <f t="shared" si="126"/>
        <v>Error?</v>
      </c>
      <c r="E7720" s="2" t="s">
        <v>827</v>
      </c>
    </row>
    <row r="7721" spans="1:6" x14ac:dyDescent="0.2">
      <c r="A7721">
        <v>7660</v>
      </c>
      <c r="B7721" s="138">
        <f>'Rest Tax Levies-Tort Im 25'!K14</f>
        <v>15434</v>
      </c>
      <c r="D7721" s="2" t="str">
        <f t="shared" si="126"/>
        <v>Error?</v>
      </c>
      <c r="E7721" s="2" t="s">
        <v>827</v>
      </c>
    </row>
    <row r="7722" spans="1:6" x14ac:dyDescent="0.2">
      <c r="A7722">
        <v>7661</v>
      </c>
      <c r="B7722" s="138">
        <f>'Rest Tax Levies-Tort Im 25'!J15</f>
        <v>166510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105687</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105687</v>
      </c>
      <c r="D7727" s="2" t="str">
        <f t="shared" si="126"/>
        <v>Error?</v>
      </c>
      <c r="E7727" s="2" t="s">
        <v>827</v>
      </c>
    </row>
    <row r="7728" spans="1:6" x14ac:dyDescent="0.2">
      <c r="A7728">
        <v>7667</v>
      </c>
      <c r="B7728" s="138">
        <f>'Revenues 9-14'!E103</f>
        <v>105687</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272197</v>
      </c>
      <c r="D7730" s="2" t="str">
        <f t="shared" si="126"/>
        <v>Error?</v>
      </c>
      <c r="E7730" s="2" t="s">
        <v>827</v>
      </c>
    </row>
    <row r="7731" spans="1:6" x14ac:dyDescent="0.2">
      <c r="A7731">
        <v>7670</v>
      </c>
      <c r="B7731" s="138">
        <f>'Revenues 9-14'!H103</f>
        <v>166510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300000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258297</v>
      </c>
      <c r="D7797" s="2" t="str">
        <f t="shared" si="127"/>
        <v>Error?</v>
      </c>
      <c r="E7797" s="4" t="s">
        <v>1903</v>
      </c>
    </row>
    <row r="7798" spans="1:5" x14ac:dyDescent="0.2">
      <c r="A7798">
        <v>7737</v>
      </c>
      <c r="B7798" s="138">
        <f>'Contracts Paid in CY 29'!F141</f>
        <v>100000</v>
      </c>
      <c r="D7798" s="2" t="str">
        <f t="shared" si="127"/>
        <v>Error?</v>
      </c>
      <c r="E7798" s="4" t="s">
        <v>1903</v>
      </c>
    </row>
    <row r="7799" spans="1:5" x14ac:dyDescent="0.2">
      <c r="A7799">
        <v>7738</v>
      </c>
      <c r="B7799" s="138">
        <f>'Contracts Paid in CY 29'!G141</f>
        <v>158297</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D43" sqref="D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Sangamon Valley CUSD 9</v>
      </c>
      <c r="B7" s="2406"/>
      <c r="C7" s="2406"/>
      <c r="D7" s="2407"/>
      <c r="E7" s="2408">
        <f>COVER!A13</f>
        <v>39055009026</v>
      </c>
      <c r="F7" s="2409"/>
      <c r="G7" s="2415">
        <f>COVER!T23</f>
        <v>66.004384999999999</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FLOYD &amp; ASSOCIATES, CPAS</v>
      </c>
      <c r="H9" s="2421"/>
      <c r="I9" s="2421"/>
      <c r="J9" s="2421"/>
      <c r="K9" s="2421"/>
      <c r="L9" s="2422"/>
    </row>
    <row r="10" spans="1:29" ht="13.5" customHeight="1" x14ac:dyDescent="0.2">
      <c r="A10" s="2395" t="str">
        <f>COVER!A38</f>
        <v>ROBERT D MEADOWS</v>
      </c>
      <c r="B10" s="2396"/>
      <c r="C10" s="2396"/>
      <c r="D10" s="2396"/>
      <c r="E10" s="2396"/>
      <c r="F10" s="2397"/>
      <c r="G10" s="2389" t="str">
        <f>COVER!T17</f>
        <v>910 STATE HWY 54 EAST</v>
      </c>
      <c r="H10" s="2390"/>
      <c r="I10" s="2390"/>
      <c r="J10" s="2390"/>
      <c r="K10" s="2390"/>
      <c r="L10" s="2391"/>
    </row>
    <row r="11" spans="1:29" ht="13.5" customHeight="1" x14ac:dyDescent="0.2">
      <c r="A11" s="1184" t="s">
        <v>1519</v>
      </c>
      <c r="B11" s="1185"/>
      <c r="C11" s="1186"/>
      <c r="D11" s="1191"/>
      <c r="E11" s="1186"/>
      <c r="F11" s="1190"/>
      <c r="G11" s="2389" t="str">
        <f>COVER!T19</f>
        <v>CLINTON</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julie.floyd@frontier.com</v>
      </c>
      <c r="J13" s="2402"/>
      <c r="K13" s="2402"/>
      <c r="L13" s="2403"/>
    </row>
    <row r="14" spans="1:29" ht="13.5" customHeight="1" x14ac:dyDescent="0.2">
      <c r="A14" s="2389" t="str">
        <f>COVER!A19</f>
        <v>PO BOX 200</v>
      </c>
      <c r="B14" s="2390"/>
      <c r="C14" s="2390"/>
      <c r="D14" s="2390"/>
      <c r="E14" s="2390"/>
      <c r="F14" s="2391"/>
      <c r="G14" s="1195" t="s">
        <v>1185</v>
      </c>
      <c r="H14" s="1193"/>
      <c r="I14" s="1193"/>
      <c r="J14" s="1193"/>
      <c r="K14" s="1193"/>
      <c r="L14" s="1194"/>
    </row>
    <row r="15" spans="1:29" ht="13.5" customHeight="1" x14ac:dyDescent="0.2">
      <c r="A15" s="2389" t="str">
        <f>COVER!A21</f>
        <v>NIANTIC</v>
      </c>
      <c r="B15" s="2390"/>
      <c r="C15" s="2390"/>
      <c r="D15" s="2390"/>
      <c r="E15" s="2390"/>
      <c r="F15" s="2391"/>
      <c r="G15" s="2386" t="str">
        <f>COVER!T15</f>
        <v>JULIE M FLOYD</v>
      </c>
      <c r="H15" s="2387"/>
      <c r="I15" s="2387"/>
      <c r="J15" s="2387"/>
      <c r="K15" s="2387"/>
      <c r="L15" s="2388"/>
    </row>
    <row r="16" spans="1:29" ht="12.2" customHeight="1" x14ac:dyDescent="0.2">
      <c r="A16" s="2411">
        <f>COVER!A25</f>
        <v>62551</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217-935-8871</v>
      </c>
      <c r="H18" s="2406"/>
      <c r="I18" s="2406"/>
      <c r="J18" s="2406"/>
      <c r="K18" s="2405" t="str">
        <f>COVER!X21</f>
        <v>217-935-5711</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3" sqref="D4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Sangamon Valley CUSD 9</v>
      </c>
      <c r="B1" s="2404"/>
      <c r="C1" s="2404"/>
      <c r="D1" s="2404"/>
    </row>
    <row r="2" spans="1:11" s="1212" customFormat="1" ht="12.75" x14ac:dyDescent="0.2">
      <c r="A2" s="2428">
        <f>'Single Audit Cover'!E7</f>
        <v>39055009026</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3" sqref="D4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Sangamon Valley CUSD 9</v>
      </c>
      <c r="B1" s="2431"/>
      <c r="C1" s="2431"/>
      <c r="D1" s="2431"/>
      <c r="E1" s="2431"/>
    </row>
    <row r="2" spans="1:5" x14ac:dyDescent="0.2">
      <c r="A2" s="2432">
        <f>'Single Audit Cover'!E7</f>
        <v>39055009026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426382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21618</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448000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448000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448000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Sangamon Valley CUSD 9</v>
      </c>
      <c r="C1" s="2435"/>
      <c r="D1" s="2435"/>
      <c r="E1" s="2435"/>
      <c r="F1" s="2435"/>
      <c r="G1" s="2435"/>
      <c r="H1" s="2435"/>
      <c r="I1" s="2435"/>
      <c r="J1" s="2435"/>
      <c r="K1" s="2435"/>
      <c r="L1" s="2435"/>
      <c r="M1" s="2435"/>
    </row>
    <row r="2" spans="2:14" ht="15" x14ac:dyDescent="0.2">
      <c r="B2" s="2436">
        <f>'Single Audit Cover'!E7</f>
        <v>39055009026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D43" sqref="D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Sangamon Valley CUSD 9</v>
      </c>
      <c r="B1" s="2448"/>
      <c r="C1" s="2448"/>
      <c r="D1" s="2448"/>
      <c r="E1" s="2448"/>
      <c r="F1" s="2448"/>
    </row>
    <row r="2" spans="1:7" ht="13.5" customHeight="1" x14ac:dyDescent="0.2">
      <c r="A2" s="2436">
        <f>'Single Audit Cover'!E7</f>
        <v>39055009026</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P101" sqref="P10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2094</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D43" sqref="D4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Sangamon Valley CUSD 9</v>
      </c>
      <c r="C1" s="2463"/>
      <c r="D1" s="2463"/>
      <c r="E1" s="2463"/>
      <c r="F1" s="2463"/>
      <c r="G1" s="2463"/>
      <c r="H1" s="2463"/>
      <c r="I1" s="2463"/>
      <c r="J1" s="1406"/>
    </row>
    <row r="2" spans="2:10" s="317" customFormat="1" ht="12.75" customHeight="1" x14ac:dyDescent="0.2">
      <c r="B2" s="2464">
        <f>'Single Audit Cover'!E7</f>
        <v>39055009026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2062</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Sangamon Valley CUSD 9</v>
      </c>
      <c r="C1" s="2462"/>
      <c r="D1" s="2462"/>
      <c r="E1" s="2462"/>
      <c r="F1" s="2462"/>
      <c r="G1" s="2462"/>
      <c r="H1" s="2462"/>
      <c r="I1" s="2462"/>
      <c r="J1" s="2462"/>
      <c r="K1" s="2462"/>
      <c r="L1" s="1371"/>
      <c r="M1" s="1371"/>
    </row>
    <row r="2" spans="1:13" ht="12" customHeight="1" x14ac:dyDescent="0.2">
      <c r="B2" s="2464">
        <f>'Single Audit Cover'!E7</f>
        <v>39055009026</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Sangamon Valley CUSD 9</v>
      </c>
      <c r="C1" s="2485"/>
      <c r="D1" s="2485"/>
      <c r="E1" s="2485"/>
      <c r="F1" s="2485"/>
      <c r="G1" s="2485"/>
      <c r="H1" s="2485"/>
      <c r="I1" s="2485"/>
      <c r="J1" s="2485"/>
      <c r="K1" s="2485"/>
      <c r="L1" s="1449"/>
    </row>
    <row r="2" spans="1:12" ht="12.75" customHeight="1" x14ac:dyDescent="0.2">
      <c r="B2" s="2486">
        <f>'Single Audit Cover'!E7</f>
        <v>39055009026</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Sangamon Valley CUSD 9</v>
      </c>
      <c r="C1" s="2462"/>
      <c r="D1" s="2462"/>
      <c r="E1" s="1469"/>
    </row>
    <row r="2" spans="2:5" s="1279" customFormat="1" ht="12.75" customHeight="1" x14ac:dyDescent="0.2">
      <c r="B2" s="2464">
        <f>'Single Audit Cover'!E7</f>
        <v>39055009026</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4" colorId="8"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92072426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3.5999999999999997E-2</v>
      </c>
      <c r="E10" s="356" t="s">
        <v>1005</v>
      </c>
      <c r="F10" s="355">
        <v>5.4999999999999997E-3</v>
      </c>
      <c r="G10" s="356" t="s">
        <v>1005</v>
      </c>
      <c r="H10" s="355">
        <v>2E-3</v>
      </c>
      <c r="I10" s="356" t="s">
        <v>1006</v>
      </c>
      <c r="J10" s="1732">
        <f>ROUND(D10+F10+H10,5)</f>
        <v>4.3499999999999997E-2</v>
      </c>
      <c r="K10" s="222"/>
      <c r="L10" s="355">
        <v>1.0900000000000001E-4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7071885</v>
      </c>
      <c r="E16" s="356"/>
      <c r="F16" s="1733">
        <f>SUM('Acct Summary 7-8'!C17,'Acct Summary 7-8'!D17,'Acct Summary 7-8'!F17)</f>
        <v>7153372</v>
      </c>
      <c r="G16" s="356"/>
      <c r="H16" s="1733">
        <f>SUM(D16-F16)</f>
        <v>-81487</v>
      </c>
      <c r="I16" s="222"/>
      <c r="J16" s="1733">
        <f>SUM('Acct Summary 7-8'!C81,'Acct Summary 7-8'!D81,'Acct Summary 7-8'!F81,'Acct Summary 7-8'!I81)</f>
        <v>2566522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12705994.788000001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528705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Sangamon Valley CUSD 9</v>
      </c>
      <c r="E7" s="391"/>
      <c r="G7" s="252"/>
      <c r="H7" s="387"/>
      <c r="I7" s="387"/>
      <c r="J7" s="387"/>
      <c r="K7" s="387"/>
      <c r="L7" s="329"/>
      <c r="M7" s="329"/>
      <c r="N7" s="329"/>
      <c r="O7" s="329"/>
      <c r="P7" s="329"/>
    </row>
    <row r="8" spans="1:18" ht="12.75" x14ac:dyDescent="0.2">
      <c r="A8" s="329"/>
      <c r="B8" s="329"/>
      <c r="C8" s="389" t="s">
        <v>1125</v>
      </c>
      <c r="D8" s="392">
        <f>COVER!A13</f>
        <v>39055009026</v>
      </c>
      <c r="E8" s="393"/>
      <c r="G8" s="329"/>
      <c r="H8" s="329"/>
      <c r="I8" s="329"/>
      <c r="J8" s="329"/>
      <c r="K8" s="329"/>
      <c r="L8" s="329"/>
      <c r="M8" s="329"/>
      <c r="N8" s="329"/>
      <c r="O8" s="329"/>
      <c r="P8" s="329"/>
    </row>
    <row r="9" spans="1:18" ht="12.75" x14ac:dyDescent="0.2">
      <c r="A9" s="329"/>
      <c r="B9" s="329"/>
      <c r="C9" s="389" t="s">
        <v>713</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2566522</v>
      </c>
      <c r="I12" s="404"/>
      <c r="J12" s="404"/>
      <c r="K12" s="405">
        <f>TRUNC((H12/H13*100000),5)/100000</f>
        <v>0.36291908020000002</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7071885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7153372</v>
      </c>
      <c r="I17" s="404"/>
      <c r="J17" s="416"/>
      <c r="K17" s="405">
        <f>TRUNC((H17/H18*100000),5)/100000</f>
        <v>1.0115226704</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7071885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22.8175475</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2566522</v>
      </c>
      <c r="I24" s="422"/>
      <c r="J24" s="422"/>
      <c r="K24" s="423">
        <f>TRUNC(((H24/H25*100000)/100000),2)</f>
        <v>129.16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19870.477780000001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3404377.9513500002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528705</v>
      </c>
      <c r="I32" s="420"/>
      <c r="J32" s="420"/>
      <c r="K32" s="423">
        <f>TRUNC(100-((((H32/H33*100))*100)/100),2)</f>
        <v>95.83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12705994.788000001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D43" sqref="D43"/>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445623</v>
      </c>
      <c r="D4" s="466">
        <v>292305</v>
      </c>
      <c r="E4" s="466">
        <v>42993</v>
      </c>
      <c r="F4" s="466">
        <v>512493</v>
      </c>
      <c r="G4" s="466">
        <v>274641</v>
      </c>
      <c r="H4" s="466">
        <v>75495</v>
      </c>
      <c r="I4" s="466">
        <v>1316101</v>
      </c>
      <c r="J4" s="467">
        <v>190318</v>
      </c>
      <c r="K4" s="466">
        <v>169017</v>
      </c>
      <c r="L4" s="466">
        <v>90926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445623</v>
      </c>
      <c r="D13" s="1737">
        <f t="shared" ref="D13:L13" si="0">SUM(D4:D12)</f>
        <v>292305</v>
      </c>
      <c r="E13" s="1737">
        <f t="shared" si="0"/>
        <v>42993</v>
      </c>
      <c r="F13" s="1737">
        <f t="shared" si="0"/>
        <v>512493</v>
      </c>
      <c r="G13" s="1737">
        <f t="shared" si="0"/>
        <v>274641</v>
      </c>
      <c r="H13" s="1737">
        <f t="shared" si="0"/>
        <v>75495</v>
      </c>
      <c r="I13" s="1737">
        <f t="shared" si="0"/>
        <v>1316101</v>
      </c>
      <c r="J13" s="1737">
        <f t="shared" si="0"/>
        <v>190318</v>
      </c>
      <c r="K13" s="1737">
        <f t="shared" si="0"/>
        <v>169017</v>
      </c>
      <c r="L13" s="1737">
        <f t="shared" si="0"/>
        <v>90926</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56972</v>
      </c>
      <c r="N16" s="484"/>
    </row>
    <row r="17" spans="1:14" s="485" customFormat="1" ht="12.75" customHeight="1" x14ac:dyDescent="0.2">
      <c r="A17" s="482" t="s">
        <v>1403</v>
      </c>
      <c r="B17" s="483">
        <v>230</v>
      </c>
      <c r="C17" s="477"/>
      <c r="D17" s="477"/>
      <c r="E17" s="477"/>
      <c r="F17" s="477"/>
      <c r="G17" s="477"/>
      <c r="H17" s="477"/>
      <c r="I17" s="477"/>
      <c r="J17" s="477"/>
      <c r="K17" s="477"/>
      <c r="L17" s="477"/>
      <c r="M17" s="467">
        <v>7155590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4023716</v>
      </c>
      <c r="N19" s="484"/>
    </row>
    <row r="20" spans="1:14" s="485" customFormat="1" ht="12.75" customHeight="1" x14ac:dyDescent="0.2">
      <c r="A20" s="482" t="s">
        <v>1406</v>
      </c>
      <c r="B20" s="483">
        <v>260</v>
      </c>
      <c r="C20" s="477"/>
      <c r="D20" s="477"/>
      <c r="E20" s="477"/>
      <c r="F20" s="477"/>
      <c r="G20" s="477"/>
      <c r="H20" s="477"/>
      <c r="I20" s="477"/>
      <c r="J20" s="477"/>
      <c r="K20" s="477"/>
      <c r="L20" s="477"/>
      <c r="M20" s="467">
        <v>19923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42993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485712</v>
      </c>
    </row>
    <row r="23" spans="1:14" ht="13.5" customHeight="1" thickBot="1" x14ac:dyDescent="0.25">
      <c r="A23" s="1736" t="s">
        <v>643</v>
      </c>
      <c r="B23" s="1741"/>
      <c r="C23" s="468"/>
      <c r="D23" s="468"/>
      <c r="E23" s="468"/>
      <c r="F23" s="468"/>
      <c r="G23" s="468"/>
      <c r="H23" s="468"/>
      <c r="I23" s="468"/>
      <c r="J23" s="468"/>
      <c r="K23" s="468"/>
      <c r="L23" s="468"/>
      <c r="M23" s="1688">
        <f>SUM(M15:M22)</f>
        <v>11256201</v>
      </c>
      <c r="N23" s="1688">
        <f>SUM(N21:N22)</f>
        <v>528705</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90926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90926</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528705</v>
      </c>
    </row>
    <row r="37" spans="1:14" ht="13.5" thickBot="1" x14ac:dyDescent="0.25">
      <c r="A37" s="1736" t="s">
        <v>653</v>
      </c>
      <c r="B37" s="1741"/>
      <c r="C37" s="477"/>
      <c r="D37" s="477"/>
      <c r="E37" s="477"/>
      <c r="F37" s="477"/>
      <c r="G37" s="477"/>
      <c r="H37" s="477"/>
      <c r="I37" s="477"/>
      <c r="J37" s="477"/>
      <c r="K37" s="477"/>
      <c r="L37" s="480"/>
      <c r="M37" s="468"/>
      <c r="N37" s="1688">
        <f>SUM(N36:N36)</f>
        <v>528705</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445623</v>
      </c>
      <c r="D39" s="466">
        <v>292305</v>
      </c>
      <c r="E39" s="466">
        <v>42993</v>
      </c>
      <c r="F39" s="466">
        <v>512493</v>
      </c>
      <c r="G39" s="466">
        <v>274641</v>
      </c>
      <c r="H39" s="466">
        <v>75495</v>
      </c>
      <c r="I39" s="466">
        <v>1316101</v>
      </c>
      <c r="J39" s="467">
        <v>190318</v>
      </c>
      <c r="K39" s="466">
        <v>169017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11256201</v>
      </c>
      <c r="N40" s="497"/>
    </row>
    <row r="41" spans="1:14" ht="13.5" customHeight="1" thickBot="1" x14ac:dyDescent="0.25">
      <c r="A41" s="1736" t="s">
        <v>655</v>
      </c>
      <c r="B41" s="1706"/>
      <c r="C41" s="1688">
        <f>(SUM(C34,C37,C38,C39))</f>
        <v>445623</v>
      </c>
      <c r="D41" s="1688">
        <f t="shared" ref="D41:L41" si="2">SUM(D34,D37,D38:D39)</f>
        <v>292305</v>
      </c>
      <c r="E41" s="1688">
        <f t="shared" si="2"/>
        <v>42993</v>
      </c>
      <c r="F41" s="1688">
        <f t="shared" si="2"/>
        <v>512493</v>
      </c>
      <c r="G41" s="1688">
        <f t="shared" si="2"/>
        <v>274641</v>
      </c>
      <c r="H41" s="1688">
        <f t="shared" si="2"/>
        <v>75495</v>
      </c>
      <c r="I41" s="1688">
        <f t="shared" si="2"/>
        <v>1316101</v>
      </c>
      <c r="J41" s="1688">
        <f t="shared" si="2"/>
        <v>190318</v>
      </c>
      <c r="K41" s="1688">
        <f t="shared" si="2"/>
        <v>169017</v>
      </c>
      <c r="L41" s="1688">
        <f t="shared" si="2"/>
        <v>90926</v>
      </c>
      <c r="M41" s="1688">
        <f>SUM(M40)</f>
        <v>11256201</v>
      </c>
      <c r="N41" s="1688">
        <f>SUM(N37)</f>
        <v>528705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1" activePane="bottomLeft" state="frozen"/>
      <selection activeCell="D43" sqref="D43"/>
      <selection pane="bottomLeft"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3882469</v>
      </c>
      <c r="D4" s="1742">
        <f>'Revenues 9-14'!D109</f>
        <v>501764</v>
      </c>
      <c r="E4" s="1742">
        <f>'Revenues 9-14'!E109</f>
        <v>271001</v>
      </c>
      <c r="F4" s="1742">
        <f>'Revenues 9-14'!F109</f>
        <v>319637</v>
      </c>
      <c r="G4" s="1742">
        <f>'Revenues 9-14'!G109</f>
        <v>246245</v>
      </c>
      <c r="H4" s="1742">
        <f>'Revenues 9-14'!H109</f>
        <v>167198</v>
      </c>
      <c r="I4" s="1742">
        <f>'Revenues 9-14'!I109</f>
        <v>18787</v>
      </c>
      <c r="J4" s="1742">
        <f>'Revenues 9-14'!J109</f>
        <v>195745</v>
      </c>
      <c r="K4" s="1742">
        <f>'Revenues 9-14'!K109</f>
        <v>45445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1533104</v>
      </c>
      <c r="D6" s="1743">
        <f>'Revenues 9-14'!D170</f>
        <v>0</v>
      </c>
      <c r="E6" s="1743">
        <f>'Revenues 9-14'!E170</f>
        <v>0</v>
      </c>
      <c r="F6" s="1743">
        <f>'Revenues 9-14'!F170</f>
        <v>389742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426382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5841955</v>
      </c>
      <c r="D8" s="1688">
        <f t="shared" ref="D8:K8" si="0">SUM(D4:D7)</f>
        <v>501764</v>
      </c>
      <c r="E8" s="1688">
        <f t="shared" si="0"/>
        <v>271001</v>
      </c>
      <c r="F8" s="1688">
        <f t="shared" si="0"/>
        <v>709379</v>
      </c>
      <c r="G8" s="1688">
        <f t="shared" si="0"/>
        <v>246245</v>
      </c>
      <c r="H8" s="1688">
        <f t="shared" si="0"/>
        <v>167198</v>
      </c>
      <c r="I8" s="1688">
        <f t="shared" si="0"/>
        <v>18787</v>
      </c>
      <c r="J8" s="1688">
        <f t="shared" si="0"/>
        <v>195745</v>
      </c>
      <c r="K8" s="1688">
        <f t="shared" si="0"/>
        <v>45445</v>
      </c>
      <c r="L8" s="347"/>
    </row>
    <row r="9" spans="1:13" ht="15.75" thickTop="1" x14ac:dyDescent="0.2">
      <c r="A9" s="514" t="s">
        <v>1653</v>
      </c>
      <c r="B9" s="515">
        <v>3998</v>
      </c>
      <c r="C9" s="481">
        <v>2481725</v>
      </c>
      <c r="D9" s="516"/>
      <c r="E9" s="481"/>
      <c r="F9" s="481"/>
      <c r="G9" s="517"/>
      <c r="H9" s="481"/>
      <c r="I9" s="509" t="s">
        <v>1169</v>
      </c>
      <c r="J9" s="478"/>
      <c r="K9" s="481"/>
      <c r="L9" s="347"/>
    </row>
    <row r="10" spans="1:13" s="519" customFormat="1" ht="13.5" thickBot="1" x14ac:dyDescent="0.25">
      <c r="A10" s="1736" t="s">
        <v>1173</v>
      </c>
      <c r="B10" s="1709"/>
      <c r="C10" s="1688">
        <f>SUM(C8:C9)</f>
        <v>8323680</v>
      </c>
      <c r="D10" s="1688">
        <f t="shared" ref="D10:K10" si="1">SUM(D8:D9)</f>
        <v>501764</v>
      </c>
      <c r="E10" s="1688">
        <f t="shared" si="1"/>
        <v>271001</v>
      </c>
      <c r="F10" s="1688">
        <f t="shared" si="1"/>
        <v>709379</v>
      </c>
      <c r="G10" s="1688">
        <f t="shared" si="1"/>
        <v>246245</v>
      </c>
      <c r="H10" s="1688">
        <f t="shared" si="1"/>
        <v>167198</v>
      </c>
      <c r="I10" s="1688">
        <f t="shared" si="1"/>
        <v>18787</v>
      </c>
      <c r="J10" s="1688">
        <f t="shared" si="1"/>
        <v>195745</v>
      </c>
      <c r="K10" s="1688">
        <f t="shared" si="1"/>
        <v>45445</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4082966</v>
      </c>
      <c r="D12" s="520" t="s">
        <v>1169</v>
      </c>
      <c r="E12" s="468" t="s">
        <v>1169</v>
      </c>
      <c r="F12" s="468" t="s">
        <v>1169</v>
      </c>
      <c r="G12" s="1742">
        <f>'Expenditures 15-22'!K229</f>
        <v>51538</v>
      </c>
      <c r="H12" s="521"/>
      <c r="I12" s="468" t="s">
        <v>1169</v>
      </c>
      <c r="J12" s="468" t="s">
        <v>1169</v>
      </c>
      <c r="K12" s="521" t="s">
        <v>1169</v>
      </c>
      <c r="L12" s="347"/>
    </row>
    <row r="13" spans="1:13" ht="15.75" customHeight="1" x14ac:dyDescent="0.2">
      <c r="A13" s="1576" t="s">
        <v>457</v>
      </c>
      <c r="B13" s="1578">
        <v>2000</v>
      </c>
      <c r="C13" s="1743">
        <f>'Expenditures 15-22'!K74</f>
        <v>1341828</v>
      </c>
      <c r="D13" s="1743">
        <f>'Expenditures 15-22'!K129</f>
        <v>611546</v>
      </c>
      <c r="E13" s="469" t="s">
        <v>1169</v>
      </c>
      <c r="F13" s="1743">
        <f>'Expenditures 15-22'!K184</f>
        <v>652037</v>
      </c>
      <c r="G13" s="1743">
        <f>'Expenditures 15-22'!K279</f>
        <v>142957</v>
      </c>
      <c r="H13" s="1743">
        <f>'Expenditures 15-22'!K303</f>
        <v>514287</v>
      </c>
      <c r="I13" s="468" t="s">
        <v>1169</v>
      </c>
      <c r="J13" s="1743">
        <f>'Expenditures 15-22'!K330</f>
        <v>163983</v>
      </c>
      <c r="K13" s="1747">
        <f>'Expenditures 15-22'!K352</f>
        <v>3649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464995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274571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5889789</v>
      </c>
      <c r="D17" s="1688">
        <f t="shared" si="2"/>
        <v>611546</v>
      </c>
      <c r="E17" s="1688">
        <f t="shared" si="2"/>
        <v>274571</v>
      </c>
      <c r="F17" s="1688">
        <f t="shared" si="2"/>
        <v>652037</v>
      </c>
      <c r="G17" s="1688">
        <f t="shared" si="2"/>
        <v>194495</v>
      </c>
      <c r="H17" s="1688">
        <f t="shared" si="2"/>
        <v>514287</v>
      </c>
      <c r="I17" s="468"/>
      <c r="J17" s="1688">
        <f>SUM(J12:J16)</f>
        <v>163983</v>
      </c>
      <c r="K17" s="1688">
        <f>SUM(K12:K16)</f>
        <v>3649</v>
      </c>
      <c r="L17" s="347"/>
    </row>
    <row r="18" spans="1:12" ht="15" customHeight="1" thickTop="1" x14ac:dyDescent="0.2">
      <c r="A18" s="1744" t="s">
        <v>1654</v>
      </c>
      <c r="B18" s="1745">
        <v>4180</v>
      </c>
      <c r="C18" s="1742">
        <f t="shared" ref="C18:H18" si="3">C9</f>
        <v>2481725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8371514</v>
      </c>
      <c r="D19" s="1688">
        <f t="shared" si="4"/>
        <v>611546</v>
      </c>
      <c r="E19" s="1688">
        <f t="shared" si="4"/>
        <v>274571</v>
      </c>
      <c r="F19" s="1688">
        <f t="shared" si="4"/>
        <v>652037</v>
      </c>
      <c r="G19" s="1688">
        <f t="shared" si="4"/>
        <v>194495</v>
      </c>
      <c r="H19" s="1688">
        <f t="shared" si="4"/>
        <v>514287</v>
      </c>
      <c r="I19" s="468"/>
      <c r="J19" s="1688">
        <f>SUM(J17:J18)</f>
        <v>163983</v>
      </c>
      <c r="K19" s="1688">
        <f>SUM(K17:K18)</f>
        <v>3649</v>
      </c>
      <c r="L19" s="347"/>
    </row>
    <row r="20" spans="1:12" ht="16.5" thickTop="1" thickBot="1" x14ac:dyDescent="0.25">
      <c r="A20" s="2128" t="s">
        <v>1655</v>
      </c>
      <c r="B20" s="2129"/>
      <c r="C20" s="1746">
        <f>C8-C17</f>
        <v>-47834</v>
      </c>
      <c r="D20" s="1746">
        <f t="shared" ref="D20:K20" si="5">D8-D17</f>
        <v>-109782</v>
      </c>
      <c r="E20" s="1746">
        <f t="shared" si="5"/>
        <v>-3570</v>
      </c>
      <c r="F20" s="1746">
        <f t="shared" si="5"/>
        <v>57342</v>
      </c>
      <c r="G20" s="1746">
        <f t="shared" si="5"/>
        <v>51750</v>
      </c>
      <c r="H20" s="1746">
        <f t="shared" si="5"/>
        <v>-347089</v>
      </c>
      <c r="I20" s="1746">
        <f t="shared" si="5"/>
        <v>18787</v>
      </c>
      <c r="J20" s="1746">
        <f t="shared" si="5"/>
        <v>31762</v>
      </c>
      <c r="K20" s="1746">
        <f t="shared" si="5"/>
        <v>41796</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300000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v>12849</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v>8278</v>
      </c>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12849</v>
      </c>
      <c r="F44" s="1703">
        <f t="shared" si="6"/>
        <v>0</v>
      </c>
      <c r="G44" s="1703">
        <f t="shared" si="6"/>
        <v>0</v>
      </c>
      <c r="H44" s="1703">
        <f t="shared" si="6"/>
        <v>308278</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8278</v>
      </c>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8278</v>
      </c>
      <c r="F76" s="1703">
        <f t="shared" si="7"/>
        <v>0</v>
      </c>
      <c r="G76" s="1703">
        <f t="shared" si="7"/>
        <v>0</v>
      </c>
      <c r="H76" s="1703">
        <f t="shared" si="7"/>
        <v>0</v>
      </c>
      <c r="I76" s="1703">
        <f t="shared" si="7"/>
        <v>300000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4571</v>
      </c>
      <c r="F77" s="1703">
        <f t="shared" si="8"/>
        <v>0</v>
      </c>
      <c r="G77" s="1703">
        <f t="shared" si="8"/>
        <v>0</v>
      </c>
      <c r="H77" s="1703">
        <f t="shared" si="8"/>
        <v>308278</v>
      </c>
      <c r="I77" s="1703">
        <f t="shared" si="8"/>
        <v>-300000</v>
      </c>
      <c r="J77" s="1703">
        <f t="shared" si="8"/>
        <v>0</v>
      </c>
      <c r="K77" s="1703">
        <f t="shared" si="8"/>
        <v>0</v>
      </c>
      <c r="L77" s="347"/>
    </row>
    <row r="78" spans="1:12" ht="21.75" customHeight="1" thickTop="1" thickBot="1" x14ac:dyDescent="0.25">
      <c r="A78" s="2124" t="s">
        <v>597</v>
      </c>
      <c r="B78" s="2125"/>
      <c r="C78" s="1702">
        <f t="shared" ref="C78:K78" si="9">C20+C77</f>
        <v>-47834</v>
      </c>
      <c r="D78" s="1702">
        <f t="shared" si="9"/>
        <v>-109782</v>
      </c>
      <c r="E78" s="1702">
        <f t="shared" si="9"/>
        <v>1001</v>
      </c>
      <c r="F78" s="1702">
        <f t="shared" si="9"/>
        <v>57342</v>
      </c>
      <c r="G78" s="1702">
        <f t="shared" si="9"/>
        <v>51750</v>
      </c>
      <c r="H78" s="1702">
        <f t="shared" si="9"/>
        <v>-38811</v>
      </c>
      <c r="I78" s="1702">
        <f t="shared" si="9"/>
        <v>-281213</v>
      </c>
      <c r="J78" s="1702">
        <f t="shared" si="9"/>
        <v>31762</v>
      </c>
      <c r="K78" s="1702">
        <f t="shared" si="9"/>
        <v>41796</v>
      </c>
      <c r="L78" s="533"/>
    </row>
    <row r="79" spans="1:12" ht="13.5" thickTop="1" x14ac:dyDescent="0.2">
      <c r="A79" s="1494" t="s">
        <v>1947</v>
      </c>
      <c r="B79" s="534"/>
      <c r="C79" s="478">
        <v>493457</v>
      </c>
      <c r="D79" s="535">
        <v>402087</v>
      </c>
      <c r="E79" s="535">
        <v>41992</v>
      </c>
      <c r="F79" s="535">
        <v>455151</v>
      </c>
      <c r="G79" s="535">
        <v>222891</v>
      </c>
      <c r="H79" s="535">
        <v>114306</v>
      </c>
      <c r="I79" s="535">
        <v>1597314</v>
      </c>
      <c r="J79" s="535">
        <v>158556</v>
      </c>
      <c r="K79" s="535">
        <v>127221</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445623</v>
      </c>
      <c r="D81" s="1688">
        <f>SUM(D78:D80)</f>
        <v>292305</v>
      </c>
      <c r="E81" s="1688">
        <f t="shared" ref="E81:K81" si="10">SUM(E78:E80)</f>
        <v>42993</v>
      </c>
      <c r="F81" s="1688">
        <f t="shared" si="10"/>
        <v>512493</v>
      </c>
      <c r="G81" s="1688">
        <f t="shared" si="10"/>
        <v>274641</v>
      </c>
      <c r="H81" s="1688">
        <f t="shared" si="10"/>
        <v>75495</v>
      </c>
      <c r="I81" s="1688">
        <f t="shared" si="10"/>
        <v>1316101</v>
      </c>
      <c r="J81" s="1688">
        <f t="shared" si="10"/>
        <v>190318</v>
      </c>
      <c r="K81" s="1688">
        <f t="shared" si="10"/>
        <v>169017</v>
      </c>
      <c r="L81" s="347"/>
    </row>
    <row r="82" spans="1:12" ht="0.75" customHeight="1" thickTop="1" thickBot="1" x14ac:dyDescent="0.25">
      <c r="A82" s="536" t="s">
        <v>343</v>
      </c>
      <c r="B82" s="537"/>
      <c r="C82" s="538">
        <f>(C81-C79)</f>
        <v>-47834</v>
      </c>
      <c r="D82" s="538">
        <f t="shared" ref="D82:K82" si="11">(D81-D79)</f>
        <v>-109782</v>
      </c>
      <c r="E82" s="538">
        <f t="shared" si="11"/>
        <v>1001</v>
      </c>
      <c r="F82" s="538">
        <f t="shared" si="11"/>
        <v>57342</v>
      </c>
      <c r="G82" s="538">
        <f t="shared" si="11"/>
        <v>51750</v>
      </c>
      <c r="H82" s="538">
        <f t="shared" si="11"/>
        <v>-38811</v>
      </c>
      <c r="I82" s="538">
        <f t="shared" si="11"/>
        <v>-281213</v>
      </c>
      <c r="J82" s="538">
        <f t="shared" si="11"/>
        <v>31762</v>
      </c>
      <c r="K82" s="538">
        <f t="shared" si="11"/>
        <v>41796</v>
      </c>
    </row>
    <row r="83" spans="1:12" ht="14.25" hidden="1" thickTop="1" thickBot="1" x14ac:dyDescent="0.25">
      <c r="A83" s="539" t="s">
        <v>344</v>
      </c>
      <c r="B83" s="464"/>
      <c r="C83" s="540">
        <f>C82/C81</f>
        <v>-0.10734185623273484</v>
      </c>
      <c r="D83" s="540">
        <f t="shared" ref="D83:K83" si="12">D82/D81</f>
        <v>-0.37557345922922974</v>
      </c>
      <c r="E83" s="540">
        <f t="shared" si="12"/>
        <v>2.3282860000465193E-2</v>
      </c>
      <c r="F83" s="540">
        <f t="shared" si="12"/>
        <v>0.11188835749951706</v>
      </c>
      <c r="G83" s="540">
        <f t="shared" si="12"/>
        <v>0.18842780211257606</v>
      </c>
      <c r="H83" s="540">
        <f t="shared" si="12"/>
        <v>-0.51408702563083652</v>
      </c>
      <c r="I83" s="540">
        <f t="shared" si="12"/>
        <v>-0.213671291185099</v>
      </c>
      <c r="J83" s="540">
        <f t="shared" si="12"/>
        <v>0.16688910139871163</v>
      </c>
      <c r="K83" s="540">
        <f t="shared" si="12"/>
        <v>0.24728873426933384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7" activePane="bottomLeft" state="frozen"/>
      <selection activeCell="D43" sqref="D43"/>
      <selection pane="bottomLeft" activeCell="E103" sqref="E10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3221822</v>
      </c>
      <c r="D5" s="481">
        <v>492226</v>
      </c>
      <c r="E5" s="466">
        <v>165081</v>
      </c>
      <c r="F5" s="548">
        <v>178981</v>
      </c>
      <c r="G5" s="466">
        <v>82392</v>
      </c>
      <c r="H5" s="466"/>
      <c r="I5" s="466">
        <v>9940</v>
      </c>
      <c r="J5" s="467">
        <v>194867</v>
      </c>
      <c r="K5" s="466">
        <v>44740</v>
      </c>
    </row>
    <row r="6" spans="1:12" ht="15" x14ac:dyDescent="0.2">
      <c r="A6" s="463" t="s">
        <v>1662</v>
      </c>
      <c r="B6" s="470">
        <v>1130</v>
      </c>
      <c r="C6" s="466">
        <v>44740</v>
      </c>
      <c r="D6" s="466"/>
      <c r="E6" s="475"/>
      <c r="F6" s="475"/>
      <c r="G6" s="468"/>
      <c r="H6" s="468"/>
      <c r="I6" s="468"/>
      <c r="J6" s="468"/>
      <c r="K6" s="468"/>
    </row>
    <row r="7" spans="1:12" x14ac:dyDescent="0.2">
      <c r="A7" s="463" t="s">
        <v>110</v>
      </c>
      <c r="B7" s="549">
        <v>1140</v>
      </c>
      <c r="C7" s="466">
        <v>35805</v>
      </c>
      <c r="D7" s="466"/>
      <c r="E7" s="468"/>
      <c r="F7" s="467"/>
      <c r="G7" s="467"/>
      <c r="H7" s="467"/>
      <c r="I7" s="468"/>
      <c r="J7" s="468"/>
      <c r="K7" s="468"/>
    </row>
    <row r="8" spans="1:12" x14ac:dyDescent="0.2">
      <c r="A8" s="463" t="s">
        <v>413</v>
      </c>
      <c r="B8" s="470">
        <v>1150</v>
      </c>
      <c r="C8" s="475"/>
      <c r="D8" s="475"/>
      <c r="E8" s="477"/>
      <c r="F8" s="477"/>
      <c r="G8" s="481">
        <v>155719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3302367</v>
      </c>
      <c r="D12" s="1707">
        <f t="shared" si="0"/>
        <v>492226</v>
      </c>
      <c r="E12" s="1707">
        <f t="shared" si="0"/>
        <v>165081</v>
      </c>
      <c r="F12" s="1707">
        <f t="shared" si="0"/>
        <v>178981</v>
      </c>
      <c r="G12" s="1707">
        <f t="shared" si="0"/>
        <v>238111</v>
      </c>
      <c r="H12" s="1707">
        <f t="shared" si="0"/>
        <v>0</v>
      </c>
      <c r="I12" s="1707">
        <f t="shared" si="0"/>
        <v>9940</v>
      </c>
      <c r="J12" s="1707">
        <f t="shared" si="0"/>
        <v>194867</v>
      </c>
      <c r="K12" s="1688">
        <f t="shared" si="0"/>
        <v>44740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314312</v>
      </c>
      <c r="D16" s="466"/>
      <c r="E16" s="466"/>
      <c r="F16" s="466">
        <v>135000</v>
      </c>
      <c r="G16" s="466">
        <v>6900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314312</v>
      </c>
      <c r="D18" s="1710">
        <f t="shared" ref="D18:K18" si="1">SUM(D14:D17)</f>
        <v>0</v>
      </c>
      <c r="E18" s="1710">
        <f t="shared" si="1"/>
        <v>0</v>
      </c>
      <c r="F18" s="1710">
        <f t="shared" si="1"/>
        <v>135000</v>
      </c>
      <c r="G18" s="1710">
        <f t="shared" si="1"/>
        <v>6900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2703</v>
      </c>
      <c r="D65" s="466">
        <v>2171</v>
      </c>
      <c r="E65" s="466">
        <v>233</v>
      </c>
      <c r="F65" s="467">
        <v>2521</v>
      </c>
      <c r="G65" s="466">
        <v>1234</v>
      </c>
      <c r="H65" s="466">
        <v>688</v>
      </c>
      <c r="I65" s="466">
        <v>8847</v>
      </c>
      <c r="J65" s="467">
        <v>878</v>
      </c>
      <c r="K65" s="466">
        <v>705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2703</v>
      </c>
      <c r="D67" s="1688">
        <f t="shared" ref="D67:K67" si="2">SUM(D65:D66)</f>
        <v>2171</v>
      </c>
      <c r="E67" s="1688">
        <f t="shared" si="2"/>
        <v>233</v>
      </c>
      <c r="F67" s="1688">
        <f t="shared" si="2"/>
        <v>2521</v>
      </c>
      <c r="G67" s="1688">
        <f t="shared" si="2"/>
        <v>1234</v>
      </c>
      <c r="H67" s="1688">
        <f t="shared" si="2"/>
        <v>688</v>
      </c>
      <c r="I67" s="1688">
        <f t="shared" si="2"/>
        <v>8847</v>
      </c>
      <c r="J67" s="1688">
        <f t="shared" si="2"/>
        <v>878</v>
      </c>
      <c r="K67" s="1688">
        <f t="shared" si="2"/>
        <v>705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113833</v>
      </c>
      <c r="D69" s="468"/>
      <c r="E69" s="468"/>
      <c r="F69" s="468"/>
      <c r="G69" s="468"/>
      <c r="H69" s="468"/>
      <c r="I69" s="468"/>
      <c r="J69" s="468"/>
      <c r="K69" s="468"/>
    </row>
    <row r="70" spans="1:11" ht="12.75" customHeight="1" x14ac:dyDescent="0.2">
      <c r="A70" s="463" t="s">
        <v>997</v>
      </c>
      <c r="B70" s="470">
        <v>1612</v>
      </c>
      <c r="C70" s="551">
        <v>6190</v>
      </c>
      <c r="D70" s="468"/>
      <c r="E70" s="468"/>
      <c r="F70" s="468"/>
      <c r="G70" s="468"/>
      <c r="H70" s="468"/>
      <c r="I70" s="468"/>
      <c r="J70" s="468"/>
      <c r="K70" s="468"/>
    </row>
    <row r="71" spans="1:11" ht="12.75" customHeight="1" x14ac:dyDescent="0.2">
      <c r="A71" s="463" t="s">
        <v>273</v>
      </c>
      <c r="B71" s="470">
        <v>1613</v>
      </c>
      <c r="C71" s="551">
        <v>2910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122933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13612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12671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3087</v>
      </c>
      <c r="D81" s="466"/>
      <c r="E81" s="468"/>
      <c r="F81" s="468"/>
      <c r="G81" s="468"/>
      <c r="H81" s="468"/>
      <c r="I81" s="468"/>
      <c r="J81" s="468"/>
      <c r="K81" s="468"/>
    </row>
    <row r="82" spans="1:11" ht="12.75" customHeight="1" thickBot="1" x14ac:dyDescent="0.25">
      <c r="A82" s="1708" t="s">
        <v>241</v>
      </c>
      <c r="B82" s="1709"/>
      <c r="C82" s="1707">
        <f>SUM(C77:C81)</f>
        <v>29370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26083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26083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3959</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105687</v>
      </c>
      <c r="F103" s="468"/>
      <c r="G103" s="468"/>
      <c r="H103" s="489">
        <v>166510</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80742</v>
      </c>
      <c r="D107" s="466">
        <v>7367</v>
      </c>
      <c r="E107" s="466"/>
      <c r="F107" s="466">
        <v>3135</v>
      </c>
      <c r="G107" s="466"/>
      <c r="H107" s="466"/>
      <c r="I107" s="466"/>
      <c r="J107" s="467"/>
      <c r="K107" s="466"/>
    </row>
    <row r="108" spans="1:12" ht="12.75" customHeight="1" thickBot="1" x14ac:dyDescent="0.25">
      <c r="A108" s="1708" t="s">
        <v>487</v>
      </c>
      <c r="B108" s="1712"/>
      <c r="C108" s="1707">
        <f>SUM(C95:C107)</f>
        <v>84701</v>
      </c>
      <c r="D108" s="1707">
        <f t="shared" ref="D108:K108" si="3">SUM(D95:D107)</f>
        <v>7367</v>
      </c>
      <c r="E108" s="1707">
        <f t="shared" si="3"/>
        <v>105687</v>
      </c>
      <c r="F108" s="1707">
        <f t="shared" si="3"/>
        <v>3135</v>
      </c>
      <c r="G108" s="1707">
        <f t="shared" si="3"/>
        <v>0</v>
      </c>
      <c r="H108" s="1707">
        <f t="shared" si="3"/>
        <v>166510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3882469</v>
      </c>
      <c r="D109" s="1715">
        <f t="shared" si="4"/>
        <v>501764</v>
      </c>
      <c r="E109" s="1715">
        <f t="shared" si="4"/>
        <v>271001</v>
      </c>
      <c r="F109" s="1715">
        <f t="shared" si="4"/>
        <v>319637</v>
      </c>
      <c r="G109" s="1715">
        <f t="shared" si="4"/>
        <v>246245</v>
      </c>
      <c r="H109" s="1715">
        <f t="shared" si="4"/>
        <v>167198</v>
      </c>
      <c r="I109" s="1715">
        <f t="shared" si="4"/>
        <v>18787</v>
      </c>
      <c r="J109" s="1715">
        <f t="shared" si="4"/>
        <v>195745</v>
      </c>
      <c r="K109" s="1702">
        <f t="shared" si="4"/>
        <v>45445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1503671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1503671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8727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8727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5659</v>
      </c>
      <c r="D140" s="466"/>
      <c r="E140" s="561"/>
      <c r="F140" s="477"/>
      <c r="G140" s="467"/>
      <c r="H140" s="468"/>
      <c r="I140" s="468"/>
      <c r="J140" s="468"/>
      <c r="K140" s="468"/>
    </row>
    <row r="141" spans="1:11" ht="12.75" customHeight="1" thickBot="1" x14ac:dyDescent="0.25">
      <c r="A141" s="1708" t="s">
        <v>603</v>
      </c>
      <c r="B141" s="1720"/>
      <c r="C141" s="1707">
        <f>SUM(C134:C140)</f>
        <v>5659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2822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11475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259522</v>
      </c>
      <c r="G152" s="467"/>
      <c r="H152" s="468"/>
      <c r="I152" s="468"/>
      <c r="J152" s="468"/>
      <c r="K152" s="468"/>
    </row>
    <row r="153" spans="1:11" ht="12.75" customHeight="1" x14ac:dyDescent="0.2">
      <c r="A153" s="463" t="s">
        <v>1057</v>
      </c>
      <c r="B153" s="562">
        <v>3510</v>
      </c>
      <c r="C153" s="551"/>
      <c r="D153" s="466"/>
      <c r="E153" s="561"/>
      <c r="F153" s="466">
        <v>130220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389742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29433</v>
      </c>
      <c r="D169" s="1722">
        <f t="shared" si="6"/>
        <v>0</v>
      </c>
      <c r="E169" s="1722">
        <f t="shared" si="6"/>
        <v>0</v>
      </c>
      <c r="F169" s="1722">
        <f t="shared" si="6"/>
        <v>389742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1533104</v>
      </c>
      <c r="D170" s="1715">
        <f t="shared" si="7"/>
        <v>0</v>
      </c>
      <c r="E170" s="1715">
        <f t="shared" si="7"/>
        <v>0</v>
      </c>
      <c r="F170" s="1715">
        <f t="shared" si="7"/>
        <v>389742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132087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36982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169069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127335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127335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7422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78855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86277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22920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3203</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7578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426382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426382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5841955</v>
      </c>
      <c r="D268" s="1715">
        <f t="shared" si="12"/>
        <v>501764</v>
      </c>
      <c r="E268" s="1715">
        <f t="shared" si="12"/>
        <v>271001</v>
      </c>
      <c r="F268" s="1715">
        <f t="shared" si="12"/>
        <v>709379</v>
      </c>
      <c r="G268" s="1715">
        <f t="shared" si="12"/>
        <v>246245</v>
      </c>
      <c r="H268" s="1715">
        <f t="shared" si="12"/>
        <v>167198</v>
      </c>
      <c r="I268" s="1715">
        <f t="shared" si="12"/>
        <v>18787</v>
      </c>
      <c r="J268" s="1715">
        <f t="shared" si="12"/>
        <v>195745</v>
      </c>
      <c r="K268" s="1702">
        <f t="shared" si="12"/>
        <v>45445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0" activePane="bottomLeft" state="frozen"/>
      <selection activeCell="D43" sqref="D43"/>
      <selection pane="bottomLeft" activeCell="D43" sqref="D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2361475</v>
      </c>
      <c r="D5" s="466">
        <v>596501</v>
      </c>
      <c r="E5" s="466">
        <v>1084</v>
      </c>
      <c r="F5" s="466">
        <v>208368</v>
      </c>
      <c r="G5" s="466">
        <v>16106</v>
      </c>
      <c r="H5" s="466">
        <v>74925</v>
      </c>
      <c r="I5" s="467"/>
      <c r="J5" s="467"/>
      <c r="K5" s="1671">
        <f>SUM(C5:J5)</f>
        <v>3258459</v>
      </c>
      <c r="L5" s="466">
        <v>3104450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76245</v>
      </c>
      <c r="D7" s="467">
        <v>13273</v>
      </c>
      <c r="E7" s="467"/>
      <c r="F7" s="467"/>
      <c r="G7" s="467"/>
      <c r="H7" s="467"/>
      <c r="I7" s="467"/>
      <c r="J7" s="467"/>
      <c r="K7" s="1671">
        <f t="shared" ref="K7:K32" si="0">SUM(C7:J7)</f>
        <v>89518</v>
      </c>
      <c r="L7" s="466">
        <v>91600</v>
      </c>
    </row>
    <row r="8" spans="1:14" x14ac:dyDescent="0.2">
      <c r="A8" s="1504" t="s">
        <v>164</v>
      </c>
      <c r="B8" s="614">
        <v>1200</v>
      </c>
      <c r="C8" s="466">
        <v>253716</v>
      </c>
      <c r="D8" s="466">
        <v>72273</v>
      </c>
      <c r="E8" s="466">
        <v>3780</v>
      </c>
      <c r="F8" s="466"/>
      <c r="G8" s="466"/>
      <c r="H8" s="466"/>
      <c r="I8" s="467"/>
      <c r="J8" s="467"/>
      <c r="K8" s="1671">
        <f t="shared" si="0"/>
        <v>329769</v>
      </c>
      <c r="L8" s="466">
        <v>265320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69978</v>
      </c>
      <c r="D10" s="466">
        <v>23194</v>
      </c>
      <c r="E10" s="466"/>
      <c r="F10" s="466">
        <v>4985</v>
      </c>
      <c r="G10" s="466">
        <v>8820</v>
      </c>
      <c r="H10" s="466"/>
      <c r="I10" s="467"/>
      <c r="J10" s="467"/>
      <c r="K10" s="1671">
        <f t="shared" si="0"/>
        <v>106977</v>
      </c>
      <c r="L10" s="466">
        <v>177658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95349</v>
      </c>
      <c r="D13" s="466">
        <v>24868</v>
      </c>
      <c r="E13" s="466"/>
      <c r="F13" s="466">
        <v>10876</v>
      </c>
      <c r="G13" s="466"/>
      <c r="H13" s="466"/>
      <c r="I13" s="467"/>
      <c r="J13" s="467"/>
      <c r="K13" s="1671">
        <f t="shared" si="0"/>
        <v>131093</v>
      </c>
      <c r="L13" s="466">
        <v>123745</v>
      </c>
    </row>
    <row r="14" spans="1:14" x14ac:dyDescent="0.2">
      <c r="A14" s="1504" t="s">
        <v>963</v>
      </c>
      <c r="B14" s="614">
        <v>1500</v>
      </c>
      <c r="C14" s="466">
        <v>77562</v>
      </c>
      <c r="D14" s="466">
        <v>6124</v>
      </c>
      <c r="E14" s="466">
        <v>21505</v>
      </c>
      <c r="F14" s="466">
        <v>9807</v>
      </c>
      <c r="G14" s="466"/>
      <c r="H14" s="466">
        <v>8087</v>
      </c>
      <c r="I14" s="467"/>
      <c r="J14" s="467"/>
      <c r="K14" s="1671">
        <f t="shared" si="0"/>
        <v>123085</v>
      </c>
      <c r="L14" s="466">
        <v>88916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37769</v>
      </c>
      <c r="D17" s="467">
        <v>4356</v>
      </c>
      <c r="E17" s="467"/>
      <c r="F17" s="467"/>
      <c r="G17" s="467"/>
      <c r="H17" s="467"/>
      <c r="I17" s="467"/>
      <c r="J17" s="467"/>
      <c r="K17" s="1671">
        <f t="shared" si="0"/>
        <v>42125</v>
      </c>
      <c r="L17" s="466">
        <v>60881</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v>1940</v>
      </c>
      <c r="F19" s="466"/>
      <c r="G19" s="466"/>
      <c r="H19" s="466"/>
      <c r="I19" s="467"/>
      <c r="J19" s="467"/>
      <c r="K19" s="1671">
        <f t="shared" si="0"/>
        <v>1940</v>
      </c>
      <c r="L19" s="466">
        <v>1180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2972094</v>
      </c>
      <c r="D33" s="1670">
        <f t="shared" ref="D33:L33" si="1">SUM(D5:D32)</f>
        <v>740589</v>
      </c>
      <c r="E33" s="1670">
        <f t="shared" si="1"/>
        <v>28309</v>
      </c>
      <c r="F33" s="1670">
        <f t="shared" si="1"/>
        <v>234036</v>
      </c>
      <c r="G33" s="1670">
        <f t="shared" si="1"/>
        <v>24926</v>
      </c>
      <c r="H33" s="1670">
        <f t="shared" si="1"/>
        <v>83012</v>
      </c>
      <c r="I33" s="1670">
        <f t="shared" si="1"/>
        <v>0</v>
      </c>
      <c r="J33" s="1670">
        <f t="shared" si="1"/>
        <v>0</v>
      </c>
      <c r="K33" s="1670">
        <f t="shared" si="1"/>
        <v>4082966</v>
      </c>
      <c r="L33" s="1670">
        <f t="shared" si="1"/>
        <v>3913750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74770</v>
      </c>
      <c r="D37" s="466">
        <v>8624</v>
      </c>
      <c r="E37" s="466"/>
      <c r="F37" s="466">
        <v>133</v>
      </c>
      <c r="G37" s="466"/>
      <c r="H37" s="466"/>
      <c r="I37" s="467"/>
      <c r="J37" s="467"/>
      <c r="K37" s="1671">
        <f t="shared" si="2"/>
        <v>83527</v>
      </c>
      <c r="L37" s="466">
        <v>83601</v>
      </c>
    </row>
    <row r="38" spans="1:14" x14ac:dyDescent="0.2">
      <c r="A38" s="1504" t="s">
        <v>198</v>
      </c>
      <c r="B38" s="614">
        <v>2130</v>
      </c>
      <c r="C38" s="466"/>
      <c r="D38" s="466"/>
      <c r="E38" s="466">
        <v>22089</v>
      </c>
      <c r="F38" s="466">
        <v>94</v>
      </c>
      <c r="G38" s="466"/>
      <c r="H38" s="466"/>
      <c r="I38" s="467"/>
      <c r="J38" s="467"/>
      <c r="K38" s="1671">
        <f t="shared" si="2"/>
        <v>22183</v>
      </c>
      <c r="L38" s="466">
        <v>21422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22320</v>
      </c>
      <c r="D40" s="466"/>
      <c r="E40" s="466"/>
      <c r="F40" s="466"/>
      <c r="G40" s="466"/>
      <c r="H40" s="466"/>
      <c r="I40" s="467"/>
      <c r="J40" s="467"/>
      <c r="K40" s="1671">
        <f t="shared" si="2"/>
        <v>22320</v>
      </c>
      <c r="L40" s="466">
        <v>17720</v>
      </c>
    </row>
    <row r="41" spans="1:14" x14ac:dyDescent="0.2">
      <c r="A41" s="1504" t="s">
        <v>1669</v>
      </c>
      <c r="B41" s="614">
        <v>2190</v>
      </c>
      <c r="C41" s="466"/>
      <c r="D41" s="466"/>
      <c r="E41" s="466">
        <v>4033</v>
      </c>
      <c r="F41" s="466">
        <v>10134</v>
      </c>
      <c r="G41" s="466"/>
      <c r="H41" s="466">
        <v>1500</v>
      </c>
      <c r="I41" s="467"/>
      <c r="J41" s="467"/>
      <c r="K41" s="1671">
        <f t="shared" si="2"/>
        <v>15667</v>
      </c>
      <c r="L41" s="466">
        <v>12873</v>
      </c>
    </row>
    <row r="42" spans="1:14" ht="12.75" customHeight="1" thickBot="1" x14ac:dyDescent="0.25">
      <c r="A42" s="1668" t="s">
        <v>560</v>
      </c>
      <c r="B42" s="1669" t="s">
        <v>716</v>
      </c>
      <c r="C42" s="1670">
        <f>SUM(C36:C41)</f>
        <v>97090</v>
      </c>
      <c r="D42" s="1670">
        <f t="shared" ref="D42:L42" si="3">SUM(D36:D41)</f>
        <v>8624</v>
      </c>
      <c r="E42" s="1670">
        <f t="shared" si="3"/>
        <v>26122</v>
      </c>
      <c r="F42" s="1670">
        <f t="shared" si="3"/>
        <v>10361</v>
      </c>
      <c r="G42" s="1670">
        <f t="shared" si="3"/>
        <v>0</v>
      </c>
      <c r="H42" s="1670">
        <f t="shared" si="3"/>
        <v>1500</v>
      </c>
      <c r="I42" s="1670">
        <f t="shared" si="3"/>
        <v>0</v>
      </c>
      <c r="J42" s="1670">
        <f t="shared" si="3"/>
        <v>0</v>
      </c>
      <c r="K42" s="1670">
        <f t="shared" si="3"/>
        <v>143697</v>
      </c>
      <c r="L42" s="1670">
        <f t="shared" si="3"/>
        <v>135616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v>32392</v>
      </c>
      <c r="G44" s="481"/>
      <c r="H44" s="481"/>
      <c r="I44" s="467"/>
      <c r="J44" s="467"/>
      <c r="K44" s="1672">
        <f>SUM(C44:J44)</f>
        <v>32392</v>
      </c>
      <c r="L44" s="481">
        <v>22839</v>
      </c>
    </row>
    <row r="45" spans="1:14" x14ac:dyDescent="0.2">
      <c r="A45" s="1504" t="s">
        <v>815</v>
      </c>
      <c r="B45" s="614">
        <v>2220</v>
      </c>
      <c r="C45" s="466">
        <v>55553</v>
      </c>
      <c r="D45" s="466">
        <v>7222</v>
      </c>
      <c r="E45" s="466"/>
      <c r="F45" s="466">
        <v>5512</v>
      </c>
      <c r="G45" s="466"/>
      <c r="H45" s="466"/>
      <c r="I45" s="467"/>
      <c r="J45" s="467"/>
      <c r="K45" s="1672">
        <f>SUM(C45:J45)</f>
        <v>68287</v>
      </c>
      <c r="L45" s="466">
        <v>61416</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55553</v>
      </c>
      <c r="D47" s="1670">
        <f t="shared" ref="D47:K47" si="4">SUM(D44:D46)</f>
        <v>7222</v>
      </c>
      <c r="E47" s="1670">
        <f t="shared" si="4"/>
        <v>0</v>
      </c>
      <c r="F47" s="1670">
        <f t="shared" si="4"/>
        <v>37904</v>
      </c>
      <c r="G47" s="1670">
        <f t="shared" si="4"/>
        <v>0</v>
      </c>
      <c r="H47" s="1670">
        <f t="shared" si="4"/>
        <v>0</v>
      </c>
      <c r="I47" s="1670">
        <f t="shared" si="4"/>
        <v>0</v>
      </c>
      <c r="J47" s="1670">
        <f t="shared" si="4"/>
        <v>0</v>
      </c>
      <c r="K47" s="1670">
        <f t="shared" si="4"/>
        <v>100679</v>
      </c>
      <c r="L47" s="1670">
        <f>SUM(L44:L46)</f>
        <v>84255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39766</v>
      </c>
      <c r="F49" s="481">
        <v>5672</v>
      </c>
      <c r="G49" s="481"/>
      <c r="H49" s="481"/>
      <c r="I49" s="467"/>
      <c r="J49" s="467"/>
      <c r="K49" s="1672">
        <f>SUM(C49:J49)</f>
        <v>45438</v>
      </c>
      <c r="L49" s="481">
        <v>40020</v>
      </c>
    </row>
    <row r="50" spans="1:14" x14ac:dyDescent="0.2">
      <c r="A50" s="1504" t="s">
        <v>818</v>
      </c>
      <c r="B50" s="614">
        <v>2320</v>
      </c>
      <c r="C50" s="466">
        <v>115479</v>
      </c>
      <c r="D50" s="466">
        <v>20301</v>
      </c>
      <c r="E50" s="466">
        <v>469</v>
      </c>
      <c r="F50" s="466">
        <v>218</v>
      </c>
      <c r="G50" s="466"/>
      <c r="H50" s="466"/>
      <c r="I50" s="467"/>
      <c r="J50" s="467"/>
      <c r="K50" s="1672">
        <f>SUM(C50:J50)</f>
        <v>136467</v>
      </c>
      <c r="L50" s="466">
        <v>133300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115479</v>
      </c>
      <c r="D53" s="1670">
        <f t="shared" ref="D53:L53" si="5">SUM(D49:D52)</f>
        <v>20301</v>
      </c>
      <c r="E53" s="1670">
        <f t="shared" si="5"/>
        <v>40235</v>
      </c>
      <c r="F53" s="1670">
        <f t="shared" si="5"/>
        <v>5890</v>
      </c>
      <c r="G53" s="1670">
        <f t="shared" si="5"/>
        <v>0</v>
      </c>
      <c r="H53" s="1670">
        <f t="shared" si="5"/>
        <v>0</v>
      </c>
      <c r="I53" s="1670">
        <f t="shared" si="5"/>
        <v>0</v>
      </c>
      <c r="J53" s="1670">
        <f t="shared" si="5"/>
        <v>0</v>
      </c>
      <c r="K53" s="1670">
        <f t="shared" si="5"/>
        <v>181905</v>
      </c>
      <c r="L53" s="1670">
        <f t="shared" si="5"/>
        <v>173320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321190</v>
      </c>
      <c r="D55" s="481">
        <v>65742</v>
      </c>
      <c r="E55" s="481">
        <v>7933</v>
      </c>
      <c r="F55" s="481"/>
      <c r="G55" s="481"/>
      <c r="H55" s="481"/>
      <c r="I55" s="467"/>
      <c r="J55" s="467"/>
      <c r="K55" s="1672">
        <f>SUM(C55:J55)</f>
        <v>394865</v>
      </c>
      <c r="L55" s="481">
        <v>390680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321190</v>
      </c>
      <c r="D57" s="1674">
        <f t="shared" ref="D57:K57" si="6">SUM(D55:D56)</f>
        <v>65742</v>
      </c>
      <c r="E57" s="1674">
        <f t="shared" si="6"/>
        <v>7933</v>
      </c>
      <c r="F57" s="1674">
        <f t="shared" si="6"/>
        <v>0</v>
      </c>
      <c r="G57" s="1674">
        <f t="shared" si="6"/>
        <v>0</v>
      </c>
      <c r="H57" s="1674">
        <f t="shared" si="6"/>
        <v>0</v>
      </c>
      <c r="I57" s="1674">
        <f t="shared" si="6"/>
        <v>0</v>
      </c>
      <c r="J57" s="1674">
        <f t="shared" si="6"/>
        <v>0</v>
      </c>
      <c r="K57" s="1674">
        <f t="shared" si="6"/>
        <v>394865</v>
      </c>
      <c r="L57" s="1670">
        <f>SUM(L55:L56)</f>
        <v>390680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44388</v>
      </c>
      <c r="D60" s="466">
        <v>6936</v>
      </c>
      <c r="E60" s="466"/>
      <c r="F60" s="466">
        <v>3459</v>
      </c>
      <c r="G60" s="466"/>
      <c r="H60" s="466"/>
      <c r="I60" s="467"/>
      <c r="J60" s="467"/>
      <c r="K60" s="1672">
        <f t="shared" si="7"/>
        <v>54783</v>
      </c>
      <c r="L60" s="466">
        <v>55316</v>
      </c>
      <c r="M60" s="609"/>
      <c r="N60" s="609"/>
    </row>
    <row r="61" spans="1:14" s="343" customFormat="1" x14ac:dyDescent="0.2">
      <c r="A61" s="1504" t="s">
        <v>197</v>
      </c>
      <c r="B61" s="614">
        <v>2540</v>
      </c>
      <c r="C61" s="466">
        <v>11520</v>
      </c>
      <c r="D61" s="466">
        <v>12</v>
      </c>
      <c r="E61" s="466">
        <v>95806</v>
      </c>
      <c r="F61" s="466">
        <v>19823</v>
      </c>
      <c r="G61" s="466"/>
      <c r="H61" s="466"/>
      <c r="I61" s="467"/>
      <c r="J61" s="467"/>
      <c r="K61" s="1672">
        <f t="shared" si="7"/>
        <v>127161</v>
      </c>
      <c r="L61" s="466">
        <v>102509</v>
      </c>
      <c r="M61" s="609"/>
      <c r="N61" s="609"/>
    </row>
    <row r="62" spans="1:14" s="343" customFormat="1" x14ac:dyDescent="0.2">
      <c r="A62" s="1504" t="s">
        <v>953</v>
      </c>
      <c r="B62" s="614">
        <v>2550</v>
      </c>
      <c r="C62" s="466">
        <v>4475</v>
      </c>
      <c r="D62" s="466"/>
      <c r="E62" s="466"/>
      <c r="F62" s="466"/>
      <c r="G62" s="466"/>
      <c r="H62" s="466"/>
      <c r="I62" s="467"/>
      <c r="J62" s="467"/>
      <c r="K62" s="1672">
        <f t="shared" si="7"/>
        <v>4475</v>
      </c>
      <c r="L62" s="466">
        <v>4086</v>
      </c>
      <c r="M62" s="609"/>
      <c r="N62" s="609"/>
    </row>
    <row r="63" spans="1:14" s="609" customFormat="1" x14ac:dyDescent="0.2">
      <c r="A63" s="1504" t="s">
        <v>100</v>
      </c>
      <c r="B63" s="614">
        <v>2560</v>
      </c>
      <c r="C63" s="466">
        <v>143481</v>
      </c>
      <c r="D63" s="466">
        <v>10979</v>
      </c>
      <c r="E63" s="466"/>
      <c r="F63" s="466">
        <v>177878</v>
      </c>
      <c r="G63" s="466">
        <v>1925</v>
      </c>
      <c r="H63" s="466"/>
      <c r="I63" s="467"/>
      <c r="J63" s="467"/>
      <c r="K63" s="1672">
        <f t="shared" si="7"/>
        <v>334263</v>
      </c>
      <c r="L63" s="466">
        <v>321609</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203864</v>
      </c>
      <c r="D65" s="1670">
        <f t="shared" ref="D65:L65" si="8">SUM(D59:D64)</f>
        <v>17927</v>
      </c>
      <c r="E65" s="1670">
        <f t="shared" si="8"/>
        <v>95806</v>
      </c>
      <c r="F65" s="1670">
        <f t="shared" si="8"/>
        <v>201160</v>
      </c>
      <c r="G65" s="1670">
        <f t="shared" si="8"/>
        <v>1925</v>
      </c>
      <c r="H65" s="1670">
        <f t="shared" si="8"/>
        <v>0</v>
      </c>
      <c r="I65" s="1670">
        <f t="shared" si="8"/>
        <v>0</v>
      </c>
      <c r="J65" s="1670">
        <f t="shared" si="8"/>
        <v>0</v>
      </c>
      <c r="K65" s="1670">
        <f t="shared" si="8"/>
        <v>520682</v>
      </c>
      <c r="L65" s="1670">
        <f t="shared" si="8"/>
        <v>483520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793176</v>
      </c>
      <c r="D74" s="1677">
        <f t="shared" ref="D74:K74" si="10">SUM(D42,D47,D53,D57,D65,D72,D73)</f>
        <v>119816</v>
      </c>
      <c r="E74" s="1677">
        <f t="shared" si="10"/>
        <v>170096</v>
      </c>
      <c r="F74" s="1677">
        <f t="shared" si="10"/>
        <v>255315</v>
      </c>
      <c r="G74" s="1677">
        <f t="shared" si="10"/>
        <v>1925</v>
      </c>
      <c r="H74" s="1677">
        <f t="shared" si="10"/>
        <v>1500</v>
      </c>
      <c r="I74" s="1677">
        <f t="shared" si="10"/>
        <v>0</v>
      </c>
      <c r="J74" s="1677">
        <f t="shared" si="10"/>
        <v>0</v>
      </c>
      <c r="K74" s="1677">
        <f t="shared" si="10"/>
        <v>1341828</v>
      </c>
      <c r="L74" s="1677">
        <f>SUM(L42,L47,L53,L57,L65,L72,L73)</f>
        <v>1267391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424495</v>
      </c>
      <c r="I79" s="477"/>
      <c r="J79" s="477"/>
      <c r="K79" s="1671">
        <f t="shared" si="11"/>
        <v>424495</v>
      </c>
      <c r="L79" s="466">
        <v>550282</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40500</v>
      </c>
      <c r="I81" s="477"/>
      <c r="J81" s="477"/>
      <c r="K81" s="1671">
        <f t="shared" si="11"/>
        <v>40500</v>
      </c>
      <c r="L81" s="466">
        <v>40500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464995</v>
      </c>
      <c r="I84" s="477"/>
      <c r="J84" s="477"/>
      <c r="K84" s="1670">
        <f>SUM(K78:K83)</f>
        <v>464995</v>
      </c>
      <c r="L84" s="1670">
        <f>SUM(L78:L83)</f>
        <v>590782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464995</v>
      </c>
      <c r="I102" s="477"/>
      <c r="J102" s="477"/>
      <c r="K102" s="1677">
        <f>SUM(K84,K92,K100,K101)</f>
        <v>464995</v>
      </c>
      <c r="L102" s="1677">
        <f>SUM(L84,L92,L100,L101)</f>
        <v>590782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3765270</v>
      </c>
      <c r="D114" s="1670">
        <f t="shared" ref="D114:K114" si="13">SUM(D33,D74,D75,D102,D112,D113)</f>
        <v>860405</v>
      </c>
      <c r="E114" s="1670">
        <f t="shared" si="13"/>
        <v>198405</v>
      </c>
      <c r="F114" s="1670">
        <f t="shared" si="13"/>
        <v>489351</v>
      </c>
      <c r="G114" s="1670">
        <f t="shared" si="13"/>
        <v>26851</v>
      </c>
      <c r="H114" s="1670">
        <f>SUM(H33,H74,H75,H102,H112,H113)</f>
        <v>549507</v>
      </c>
      <c r="I114" s="1670">
        <f t="shared" si="13"/>
        <v>0</v>
      </c>
      <c r="J114" s="1670">
        <f t="shared" si="13"/>
        <v>0</v>
      </c>
      <c r="K114" s="1670">
        <f t="shared" si="13"/>
        <v>5889789</v>
      </c>
      <c r="L114" s="1670">
        <f>SUM(L33,L74,L75,L102,L112,L113)</f>
        <v>5771923</v>
      </c>
    </row>
    <row r="115" spans="1:14" ht="13.5" thickTop="1" x14ac:dyDescent="0.2">
      <c r="A115" s="2183" t="s">
        <v>996</v>
      </c>
      <c r="B115" s="2184"/>
      <c r="C115" s="618"/>
      <c r="D115" s="618"/>
      <c r="E115" s="618"/>
      <c r="F115" s="618"/>
      <c r="G115" s="618"/>
      <c r="H115" s="618"/>
      <c r="I115" s="618"/>
      <c r="J115" s="618"/>
      <c r="K115" s="1684">
        <f>'Revenues 9-14'!C268-'Expenditures 15-22'!K114</f>
        <v>-47834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289761</v>
      </c>
      <c r="D124" s="466">
        <v>51713</v>
      </c>
      <c r="E124" s="466">
        <v>167262</v>
      </c>
      <c r="F124" s="466">
        <v>67637</v>
      </c>
      <c r="G124" s="466">
        <v>35173</v>
      </c>
      <c r="H124" s="466"/>
      <c r="I124" s="467"/>
      <c r="J124" s="467"/>
      <c r="K124" s="1670">
        <f>SUM(C124:J124)</f>
        <v>611546</v>
      </c>
      <c r="L124" s="466">
        <v>579794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289761</v>
      </c>
      <c r="D127" s="1670">
        <f t="shared" ref="D127:L127" si="14">SUM(D122:D126)</f>
        <v>51713</v>
      </c>
      <c r="E127" s="1670">
        <f t="shared" si="14"/>
        <v>167262</v>
      </c>
      <c r="F127" s="1670">
        <f t="shared" si="14"/>
        <v>67637</v>
      </c>
      <c r="G127" s="1670">
        <f t="shared" si="14"/>
        <v>35173</v>
      </c>
      <c r="H127" s="1670">
        <f t="shared" si="14"/>
        <v>0</v>
      </c>
      <c r="I127" s="1670">
        <f t="shared" si="14"/>
        <v>0</v>
      </c>
      <c r="J127" s="1670">
        <f t="shared" si="14"/>
        <v>0</v>
      </c>
      <c r="K127" s="1670">
        <f t="shared" si="14"/>
        <v>611546</v>
      </c>
      <c r="L127" s="1670">
        <f t="shared" si="14"/>
        <v>579794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289761</v>
      </c>
      <c r="D129" s="1677">
        <f t="shared" ref="D129:L129" si="15">SUM(D120,D127,D128)</f>
        <v>51713</v>
      </c>
      <c r="E129" s="1677">
        <f t="shared" si="15"/>
        <v>167262</v>
      </c>
      <c r="F129" s="1677">
        <f t="shared" si="15"/>
        <v>67637</v>
      </c>
      <c r="G129" s="1677">
        <f t="shared" si="15"/>
        <v>35173</v>
      </c>
      <c r="H129" s="1677">
        <f t="shared" si="15"/>
        <v>0</v>
      </c>
      <c r="I129" s="1677">
        <f t="shared" si="15"/>
        <v>0</v>
      </c>
      <c r="J129" s="1677">
        <f t="shared" si="15"/>
        <v>0</v>
      </c>
      <c r="K129" s="1677">
        <f t="shared" si="15"/>
        <v>611546</v>
      </c>
      <c r="L129" s="1677">
        <f t="shared" si="15"/>
        <v>579794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289761</v>
      </c>
      <c r="D151" s="1670">
        <f t="shared" ref="D151:K151" si="16">SUM(D129,D130,D139,D149,D150)</f>
        <v>51713</v>
      </c>
      <c r="E151" s="1670">
        <f t="shared" si="16"/>
        <v>167262</v>
      </c>
      <c r="F151" s="1670">
        <f t="shared" si="16"/>
        <v>67637</v>
      </c>
      <c r="G151" s="1670">
        <f t="shared" si="16"/>
        <v>35173</v>
      </c>
      <c r="H151" s="1670">
        <f t="shared" si="16"/>
        <v>0</v>
      </c>
      <c r="I151" s="1670">
        <f t="shared" si="16"/>
        <v>0</v>
      </c>
      <c r="J151" s="1670">
        <f t="shared" si="16"/>
        <v>0</v>
      </c>
      <c r="K151" s="1670">
        <f t="shared" si="16"/>
        <v>611546</v>
      </c>
      <c r="L151" s="1670">
        <f>SUM(L129,L130,L139,L149,L150)</f>
        <v>579794</v>
      </c>
    </row>
    <row r="152" spans="1:14" ht="12.75" customHeight="1" thickTop="1" x14ac:dyDescent="0.2">
      <c r="A152" s="2176" t="s">
        <v>1178</v>
      </c>
      <c r="B152" s="2177"/>
      <c r="C152" s="618"/>
      <c r="D152" s="618"/>
      <c r="E152" s="618"/>
      <c r="F152" s="618"/>
      <c r="G152" s="618"/>
      <c r="H152" s="618"/>
      <c r="I152" s="618"/>
      <c r="J152" s="616"/>
      <c r="K152" s="1684">
        <f>'Revenues 9-14'!D268-'Expenditures 15-22'!K151</f>
        <v>-109782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24427</v>
      </c>
      <c r="I169" s="616"/>
      <c r="J169" s="616"/>
      <c r="K169" s="1671">
        <f>SUM(C169:H169)</f>
        <v>24427</v>
      </c>
      <c r="L169" s="656">
        <v>13812</v>
      </c>
    </row>
    <row r="170" spans="1:14" ht="33.75" customHeight="1" x14ac:dyDescent="0.2">
      <c r="A170" s="669" t="s">
        <v>1670</v>
      </c>
      <c r="B170" s="671" t="s">
        <v>31</v>
      </c>
      <c r="C170" s="616"/>
      <c r="D170" s="616"/>
      <c r="E170" s="616"/>
      <c r="F170" s="616"/>
      <c r="G170" s="616"/>
      <c r="H170" s="569">
        <v>249144</v>
      </c>
      <c r="I170" s="616"/>
      <c r="J170" s="616"/>
      <c r="K170" s="1671">
        <f>SUM(C170:J170)</f>
        <v>249144</v>
      </c>
      <c r="L170" s="569">
        <v>150000</v>
      </c>
    </row>
    <row r="171" spans="1:14" ht="15.75" customHeight="1" x14ac:dyDescent="0.2">
      <c r="A171" s="621" t="s">
        <v>766</v>
      </c>
      <c r="B171" s="672" t="s">
        <v>84</v>
      </c>
      <c r="C171" s="616"/>
      <c r="D171" s="616"/>
      <c r="E171" s="466"/>
      <c r="F171" s="616"/>
      <c r="G171" s="616"/>
      <c r="H171" s="569">
        <v>1000</v>
      </c>
      <c r="I171" s="477"/>
      <c r="J171" s="616"/>
      <c r="K171" s="1671">
        <f>SUM(C171:J171)</f>
        <v>1000</v>
      </c>
      <c r="L171" s="569"/>
    </row>
    <row r="172" spans="1:14" ht="12.75" customHeight="1" thickBot="1" x14ac:dyDescent="0.25">
      <c r="A172" s="1668" t="s">
        <v>638</v>
      </c>
      <c r="B172" s="1669" t="s">
        <v>492</v>
      </c>
      <c r="C172" s="616"/>
      <c r="D172" s="616"/>
      <c r="E172" s="1677">
        <f>SUM(E168,E169,E170,E171)</f>
        <v>0</v>
      </c>
      <c r="F172" s="616"/>
      <c r="G172" s="616"/>
      <c r="H172" s="1677">
        <f>SUM(H168,H169,H170,H171)</f>
        <v>274571</v>
      </c>
      <c r="I172" s="638"/>
      <c r="J172" s="616"/>
      <c r="K172" s="1677">
        <f>SUM(K168,K169,K170,K171)</f>
        <v>274571</v>
      </c>
      <c r="L172" s="1677">
        <f>SUM(L168,L169,L170,L171)</f>
        <v>163812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274571</v>
      </c>
      <c r="I174" s="638"/>
      <c r="J174" s="616"/>
      <c r="K174" s="1677">
        <f>SUM(K160,K172,K173)</f>
        <v>274571</v>
      </c>
      <c r="L174" s="1677">
        <f>SUM(L160,L172,L173)</f>
        <v>163812</v>
      </c>
    </row>
    <row r="175" spans="1:14" ht="13.5" thickTop="1" x14ac:dyDescent="0.2">
      <c r="A175" s="2183" t="s">
        <v>996</v>
      </c>
      <c r="B175" s="2184"/>
      <c r="C175" s="616"/>
      <c r="D175" s="616"/>
      <c r="E175" s="616"/>
      <c r="F175" s="616"/>
      <c r="G175" s="616"/>
      <c r="H175" s="618"/>
      <c r="I175" s="616"/>
      <c r="J175" s="616"/>
      <c r="K175" s="1684">
        <f>'Revenues 9-14'!E268-'Expenditures 15-22'!K174</f>
        <v>-3570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356860</v>
      </c>
      <c r="D182" s="466">
        <v>9121</v>
      </c>
      <c r="E182" s="466">
        <v>29499</v>
      </c>
      <c r="F182" s="466">
        <v>87427</v>
      </c>
      <c r="G182" s="466"/>
      <c r="H182" s="466">
        <v>65</v>
      </c>
      <c r="I182" s="467">
        <v>169065</v>
      </c>
      <c r="J182" s="467"/>
      <c r="K182" s="1671">
        <f>SUM(C182:J182)</f>
        <v>652037</v>
      </c>
      <c r="L182" s="466">
        <v>639172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356860</v>
      </c>
      <c r="D184" s="1677">
        <f t="shared" ref="D184:J184" si="17">SUM(D180,D182,D183)</f>
        <v>9121</v>
      </c>
      <c r="E184" s="1677">
        <f t="shared" si="17"/>
        <v>29499</v>
      </c>
      <c r="F184" s="1677">
        <f t="shared" si="17"/>
        <v>87427</v>
      </c>
      <c r="G184" s="1677">
        <f t="shared" si="17"/>
        <v>0</v>
      </c>
      <c r="H184" s="1677">
        <f t="shared" si="17"/>
        <v>65</v>
      </c>
      <c r="I184" s="1677">
        <f t="shared" si="17"/>
        <v>169065</v>
      </c>
      <c r="J184" s="1677">
        <f t="shared" si="17"/>
        <v>0</v>
      </c>
      <c r="K184" s="1677">
        <f>SUM(K180,K182,K183)</f>
        <v>652037</v>
      </c>
      <c r="L184" s="1677">
        <f>SUM(L180, L182:L183)</f>
        <v>639172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356860</v>
      </c>
      <c r="D210" s="1670">
        <f>SUM(D184,D185)</f>
        <v>9121</v>
      </c>
      <c r="E210" s="1670">
        <f>SUM(E184,E185,E196)</f>
        <v>29499</v>
      </c>
      <c r="F210" s="1670">
        <f>SUM(F184,F185)</f>
        <v>87427</v>
      </c>
      <c r="G210" s="1670">
        <f>SUM(G184,G185)</f>
        <v>0</v>
      </c>
      <c r="H210" s="1670">
        <f>SUM(H184,H185,H196,H208,H209)</f>
        <v>65</v>
      </c>
      <c r="I210" s="1670">
        <f>SUM(I184,I185)</f>
        <v>169065</v>
      </c>
      <c r="J210" s="1670">
        <f>SUM(J184,J185)</f>
        <v>0</v>
      </c>
      <c r="K210" s="1671">
        <f>SUM(K184,K185,K196,K208,K209)</f>
        <v>652037</v>
      </c>
      <c r="L210" s="1670">
        <f>SUM(L184,L185,L196,L208,L209)</f>
        <v>639172</v>
      </c>
    </row>
    <row r="211" spans="1:14" ht="13.5" thickTop="1" x14ac:dyDescent="0.2">
      <c r="A211" s="2183" t="s">
        <v>996</v>
      </c>
      <c r="B211" s="2184"/>
      <c r="C211" s="618"/>
      <c r="D211" s="618"/>
      <c r="E211" s="618"/>
      <c r="F211" s="618"/>
      <c r="G211" s="618"/>
      <c r="H211" s="618"/>
      <c r="I211" s="616"/>
      <c r="J211" s="616"/>
      <c r="K211" s="1684">
        <f>'Revenues 9-14'!F268-'Expenditures 15-22'!K210</f>
        <v>57342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35227</v>
      </c>
      <c r="E215" s="616"/>
      <c r="F215" s="616"/>
      <c r="G215" s="616"/>
      <c r="H215" s="616"/>
      <c r="I215" s="616"/>
      <c r="J215" s="616"/>
      <c r="K215" s="1671">
        <f>D215</f>
        <v>35227</v>
      </c>
      <c r="L215" s="466">
        <v>35677</v>
      </c>
    </row>
    <row r="216" spans="1:14" x14ac:dyDescent="0.2">
      <c r="A216" s="1504" t="s">
        <v>163</v>
      </c>
      <c r="B216" s="614" t="s">
        <v>967</v>
      </c>
      <c r="C216" s="616"/>
      <c r="D216" s="467">
        <v>3872</v>
      </c>
      <c r="E216" s="616"/>
      <c r="F216" s="616"/>
      <c r="G216" s="616"/>
      <c r="H216" s="616"/>
      <c r="I216" s="616"/>
      <c r="J216" s="616"/>
      <c r="K216" s="1671">
        <f t="shared" ref="K216:K228" si="19">D216</f>
        <v>3872</v>
      </c>
      <c r="L216" s="466">
        <v>3842</v>
      </c>
    </row>
    <row r="217" spans="1:14" x14ac:dyDescent="0.2">
      <c r="A217" s="1504" t="s">
        <v>164</v>
      </c>
      <c r="B217" s="614">
        <v>1200</v>
      </c>
      <c r="C217" s="616"/>
      <c r="D217" s="466">
        <v>5982</v>
      </c>
      <c r="E217" s="616"/>
      <c r="F217" s="616"/>
      <c r="G217" s="616"/>
      <c r="H217" s="616"/>
      <c r="I217" s="616"/>
      <c r="J217" s="616"/>
      <c r="K217" s="1671">
        <f t="shared" si="19"/>
        <v>5982</v>
      </c>
      <c r="L217" s="466">
        <v>5954</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1106</v>
      </c>
      <c r="E219" s="616"/>
      <c r="F219" s="616"/>
      <c r="G219" s="616"/>
      <c r="H219" s="616"/>
      <c r="I219" s="616"/>
      <c r="J219" s="616"/>
      <c r="K219" s="1671">
        <f t="shared" si="19"/>
        <v>1106</v>
      </c>
      <c r="L219" s="466">
        <v>1106</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v>480</v>
      </c>
      <c r="E221" s="616"/>
      <c r="F221" s="616"/>
      <c r="G221" s="616"/>
      <c r="H221" s="616"/>
      <c r="I221" s="616"/>
      <c r="J221" s="616"/>
      <c r="K221" s="1671">
        <f t="shared" si="19"/>
        <v>480</v>
      </c>
      <c r="L221" s="466">
        <v>480</v>
      </c>
    </row>
    <row r="222" spans="1:14" x14ac:dyDescent="0.2">
      <c r="A222" s="1504" t="s">
        <v>723</v>
      </c>
      <c r="B222" s="614">
        <v>1400</v>
      </c>
      <c r="C222" s="616"/>
      <c r="D222" s="466">
        <v>1346</v>
      </c>
      <c r="E222" s="616"/>
      <c r="F222" s="616"/>
      <c r="G222" s="616"/>
      <c r="H222" s="616"/>
      <c r="I222" s="616"/>
      <c r="J222" s="616"/>
      <c r="K222" s="1671">
        <f t="shared" si="19"/>
        <v>1346</v>
      </c>
      <c r="L222" s="466">
        <v>1347</v>
      </c>
    </row>
    <row r="223" spans="1:14" x14ac:dyDescent="0.2">
      <c r="A223" s="1504" t="s">
        <v>963</v>
      </c>
      <c r="B223" s="614">
        <v>1500</v>
      </c>
      <c r="C223" s="616"/>
      <c r="D223" s="466">
        <v>2977</v>
      </c>
      <c r="E223" s="616"/>
      <c r="F223" s="616"/>
      <c r="G223" s="616"/>
      <c r="H223" s="616"/>
      <c r="I223" s="616"/>
      <c r="J223" s="616"/>
      <c r="K223" s="1671">
        <f t="shared" si="19"/>
        <v>2977</v>
      </c>
      <c r="L223" s="466">
        <v>2855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548</v>
      </c>
      <c r="E226" s="616"/>
      <c r="F226" s="616"/>
      <c r="G226" s="616"/>
      <c r="H226" s="616"/>
      <c r="I226" s="616"/>
      <c r="J226" s="616"/>
      <c r="K226" s="1671">
        <f t="shared" si="19"/>
        <v>548</v>
      </c>
      <c r="L226" s="466">
        <v>548</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51538</v>
      </c>
      <c r="E229" s="616"/>
      <c r="F229" s="616"/>
      <c r="G229" s="616"/>
      <c r="H229" s="616"/>
      <c r="I229" s="616"/>
      <c r="J229" s="616"/>
      <c r="K229" s="1670">
        <f>SUM(K215:K228)</f>
        <v>51538</v>
      </c>
      <c r="L229" s="1670">
        <f>SUM(L215:L228)</f>
        <v>51809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1084</v>
      </c>
      <c r="E233" s="616"/>
      <c r="F233" s="616"/>
      <c r="G233" s="616"/>
      <c r="H233" s="616"/>
      <c r="I233" s="616"/>
      <c r="J233" s="616"/>
      <c r="K233" s="1671">
        <f t="shared" si="20"/>
        <v>1084</v>
      </c>
      <c r="L233" s="466">
        <v>1085</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1084</v>
      </c>
      <c r="E238" s="616"/>
      <c r="F238" s="616"/>
      <c r="G238" s="616"/>
      <c r="H238" s="616"/>
      <c r="I238" s="616"/>
      <c r="J238" s="616"/>
      <c r="K238" s="1670">
        <f>SUM(K232:K237)</f>
        <v>1084</v>
      </c>
      <c r="L238" s="1670">
        <f>SUM(L232:L237)</f>
        <v>1085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7939</v>
      </c>
      <c r="E241" s="616"/>
      <c r="F241" s="616"/>
      <c r="G241" s="616"/>
      <c r="H241" s="616"/>
      <c r="I241" s="616"/>
      <c r="J241" s="616"/>
      <c r="K241" s="1672">
        <f>D241</f>
        <v>7939</v>
      </c>
      <c r="L241" s="466">
        <v>7923</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7939</v>
      </c>
      <c r="E243" s="616"/>
      <c r="F243" s="616"/>
      <c r="G243" s="616"/>
      <c r="H243" s="616"/>
      <c r="I243" s="616"/>
      <c r="J243" s="616"/>
      <c r="K243" s="1670">
        <f>SUM(K240:K242)</f>
        <v>7939</v>
      </c>
      <c r="L243" s="1670">
        <f>SUM(L240:L242)</f>
        <v>7923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1674</v>
      </c>
      <c r="E246" s="616"/>
      <c r="F246" s="616"/>
      <c r="G246" s="616"/>
      <c r="H246" s="616"/>
      <c r="I246" s="616"/>
      <c r="J246" s="616"/>
      <c r="K246" s="1672">
        <f t="shared" ref="K246:K256" si="21">D246</f>
        <v>1674</v>
      </c>
      <c r="L246" s="466">
        <v>1506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1674</v>
      </c>
      <c r="E257" s="616"/>
      <c r="F257" s="616"/>
      <c r="G257" s="616"/>
      <c r="H257" s="616"/>
      <c r="I257" s="616"/>
      <c r="J257" s="616"/>
      <c r="K257" s="1670">
        <f>SUM(K245:K256)</f>
        <v>1674</v>
      </c>
      <c r="L257" s="1670">
        <f>SUM(L245:L256)</f>
        <v>1506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16461</v>
      </c>
      <c r="E259" s="616"/>
      <c r="F259" s="616"/>
      <c r="G259" s="616"/>
      <c r="H259" s="616"/>
      <c r="I259" s="616"/>
      <c r="J259" s="616"/>
      <c r="K259" s="1672">
        <f>D259</f>
        <v>16461</v>
      </c>
      <c r="L259" s="481">
        <v>16455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16461</v>
      </c>
      <c r="E261" s="616"/>
      <c r="F261" s="616"/>
      <c r="G261" s="616"/>
      <c r="H261" s="616"/>
      <c r="I261" s="616"/>
      <c r="J261" s="616"/>
      <c r="K261" s="1670">
        <f>SUM(K259:K260)</f>
        <v>16461</v>
      </c>
      <c r="L261" s="1670">
        <f>SUM(L259:L260)</f>
        <v>16455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6377</v>
      </c>
      <c r="E264" s="616"/>
      <c r="F264" s="616"/>
      <c r="G264" s="616"/>
      <c r="H264" s="616"/>
      <c r="I264" s="616"/>
      <c r="J264" s="616"/>
      <c r="K264" s="1672">
        <f t="shared" ref="K264:K269" si="22">D264</f>
        <v>6377</v>
      </c>
      <c r="L264" s="466">
        <v>6248</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42205</v>
      </c>
      <c r="E266" s="616"/>
      <c r="F266" s="616"/>
      <c r="G266" s="616"/>
      <c r="H266" s="616"/>
      <c r="I266" s="616"/>
      <c r="J266" s="616"/>
      <c r="K266" s="1672">
        <f t="shared" si="22"/>
        <v>42205</v>
      </c>
      <c r="L266" s="466">
        <v>41642</v>
      </c>
    </row>
    <row r="267" spans="1:14" x14ac:dyDescent="0.2">
      <c r="A267" s="1504" t="s">
        <v>953</v>
      </c>
      <c r="B267" s="614">
        <v>2550</v>
      </c>
      <c r="C267" s="616"/>
      <c r="D267" s="466">
        <v>47935</v>
      </c>
      <c r="E267" s="616"/>
      <c r="F267" s="616"/>
      <c r="G267" s="616"/>
      <c r="H267" s="616"/>
      <c r="I267" s="616"/>
      <c r="J267" s="616"/>
      <c r="K267" s="1672">
        <f t="shared" si="22"/>
        <v>47935</v>
      </c>
      <c r="L267" s="466">
        <v>48342</v>
      </c>
    </row>
    <row r="268" spans="1:14" x14ac:dyDescent="0.2">
      <c r="A268" s="1504" t="s">
        <v>100</v>
      </c>
      <c r="B268" s="614">
        <v>2560</v>
      </c>
      <c r="C268" s="616"/>
      <c r="D268" s="466">
        <v>19282</v>
      </c>
      <c r="E268" s="616"/>
      <c r="F268" s="616"/>
      <c r="G268" s="616"/>
      <c r="H268" s="616"/>
      <c r="I268" s="616"/>
      <c r="J268" s="616"/>
      <c r="K268" s="1672">
        <f t="shared" si="22"/>
        <v>19282</v>
      </c>
      <c r="L268" s="466">
        <v>19522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115799</v>
      </c>
      <c r="E270" s="616"/>
      <c r="F270" s="616"/>
      <c r="G270" s="616"/>
      <c r="H270" s="616"/>
      <c r="I270" s="616"/>
      <c r="J270" s="616"/>
      <c r="K270" s="1670">
        <f>SUM(K263:K269)</f>
        <v>115799</v>
      </c>
      <c r="L270" s="1670">
        <f>SUM(L263:L269)</f>
        <v>115754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142957</v>
      </c>
      <c r="E279" s="616"/>
      <c r="F279" s="616"/>
      <c r="G279" s="616"/>
      <c r="H279" s="616"/>
      <c r="I279" s="616"/>
      <c r="J279" s="616"/>
      <c r="K279" s="1677">
        <f>SUM(K238,K243,K257,K261,K270,K277,K278)</f>
        <v>142957</v>
      </c>
      <c r="L279" s="1677">
        <f>SUM(L238,L243,L257,L261,L270,L277,L278)</f>
        <v>142723</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194495</v>
      </c>
      <c r="E295" s="616"/>
      <c r="F295" s="616"/>
      <c r="G295" s="616"/>
      <c r="H295" s="1670">
        <f>H293</f>
        <v>0</v>
      </c>
      <c r="I295" s="616"/>
      <c r="J295" s="616"/>
      <c r="K295" s="1670">
        <f>SUM(K229,K279,K280,K285,K293,K294)</f>
        <v>194495</v>
      </c>
      <c r="L295" s="1670">
        <f>SUM(L229,L279,L280,L285,L293,L294)</f>
        <v>194532</v>
      </c>
    </row>
    <row r="296" spans="1:14" ht="13.5" thickTop="1" x14ac:dyDescent="0.2">
      <c r="A296" s="2183" t="s">
        <v>996</v>
      </c>
      <c r="B296" s="2184"/>
      <c r="C296" s="616"/>
      <c r="D296" s="618"/>
      <c r="E296" s="616"/>
      <c r="F296" s="616"/>
      <c r="G296" s="616"/>
      <c r="H296" s="687"/>
      <c r="I296" s="616"/>
      <c r="J296" s="616"/>
      <c r="K296" s="1684">
        <f>'Revenues 9-14'!G268-'Expenditures 15-22'!K295</f>
        <v>51750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53916</v>
      </c>
      <c r="F301" s="466">
        <v>10426</v>
      </c>
      <c r="G301" s="466">
        <v>449945</v>
      </c>
      <c r="H301" s="466"/>
      <c r="I301" s="467"/>
      <c r="J301" s="467"/>
      <c r="K301" s="1671">
        <f>SUM(C301:J301)</f>
        <v>514287</v>
      </c>
      <c r="L301" s="467">
        <v>577446</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53916</v>
      </c>
      <c r="F303" s="1677">
        <f t="shared" si="23"/>
        <v>10426</v>
      </c>
      <c r="G303" s="1677">
        <f t="shared" si="23"/>
        <v>449945</v>
      </c>
      <c r="H303" s="1677">
        <f t="shared" si="23"/>
        <v>0</v>
      </c>
      <c r="I303" s="1677">
        <f t="shared" si="23"/>
        <v>0</v>
      </c>
      <c r="J303" s="1677">
        <f t="shared" si="23"/>
        <v>0</v>
      </c>
      <c r="K303" s="1677">
        <f t="shared" si="23"/>
        <v>514287</v>
      </c>
      <c r="L303" s="1677">
        <f t="shared" si="23"/>
        <v>577446</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53916</v>
      </c>
      <c r="F312" s="1670">
        <f>SUM(F303)</f>
        <v>10426</v>
      </c>
      <c r="G312" s="1670">
        <f>SUM(G303)</f>
        <v>449945</v>
      </c>
      <c r="H312" s="1670">
        <f>SUM(H303,H310)</f>
        <v>0</v>
      </c>
      <c r="I312" s="1670">
        <f>SUM(I303)</f>
        <v>0</v>
      </c>
      <c r="J312" s="1670">
        <f>SUM(J303)</f>
        <v>0</v>
      </c>
      <c r="K312" s="1670">
        <f>SUM(K303,K310,K311)</f>
        <v>514287</v>
      </c>
      <c r="L312" s="1670">
        <f>SUM(L303,L310,L311)</f>
        <v>577446</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-347089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57478</v>
      </c>
      <c r="F320" s="467"/>
      <c r="G320" s="467"/>
      <c r="H320" s="467"/>
      <c r="I320" s="467"/>
      <c r="J320" s="467"/>
      <c r="K320" s="1671">
        <f t="shared" ref="K320:K327" si="24">SUM(C320:J320)</f>
        <v>57478</v>
      </c>
      <c r="L320" s="467">
        <v>47700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81550</v>
      </c>
      <c r="F322" s="467"/>
      <c r="G322" s="467"/>
      <c r="H322" s="467"/>
      <c r="I322" s="467"/>
      <c r="J322" s="467"/>
      <c r="K322" s="1671">
        <f t="shared" si="24"/>
        <v>81550</v>
      </c>
      <c r="L322" s="467">
        <v>78295</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12608</v>
      </c>
      <c r="F325" s="467"/>
      <c r="G325" s="467"/>
      <c r="H325" s="467"/>
      <c r="I325" s="467"/>
      <c r="J325" s="467"/>
      <c r="K325" s="1671">
        <f t="shared" si="24"/>
        <v>12608</v>
      </c>
      <c r="L325" s="467">
        <v>13000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12347</v>
      </c>
      <c r="F327" s="467"/>
      <c r="G327" s="467"/>
      <c r="H327" s="467"/>
      <c r="I327" s="467"/>
      <c r="J327" s="467"/>
      <c r="K327" s="1671">
        <f t="shared" si="24"/>
        <v>12347</v>
      </c>
      <c r="L327" s="467">
        <v>10000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163983</v>
      </c>
      <c r="F330" s="1670">
        <f t="shared" si="25"/>
        <v>0</v>
      </c>
      <c r="G330" s="1670">
        <f t="shared" si="25"/>
        <v>0</v>
      </c>
      <c r="H330" s="1670">
        <f t="shared" si="25"/>
        <v>0</v>
      </c>
      <c r="I330" s="1670">
        <f t="shared" si="25"/>
        <v>0</v>
      </c>
      <c r="J330" s="1670">
        <f t="shared" si="25"/>
        <v>0</v>
      </c>
      <c r="K330" s="1670">
        <f>SUM(K319:K329)</f>
        <v>163983</v>
      </c>
      <c r="L330" s="1670">
        <f>SUM(L319:L329)</f>
        <v>148995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163983</v>
      </c>
      <c r="F342" s="1670">
        <f>SUM(F330)</f>
        <v>0</v>
      </c>
      <c r="G342" s="1670">
        <f>SUM(G330)</f>
        <v>0</v>
      </c>
      <c r="H342" s="1670">
        <f>SUM(H330,H334,H340)</f>
        <v>0</v>
      </c>
      <c r="I342" s="1670">
        <f>SUM(I330)</f>
        <v>0</v>
      </c>
      <c r="J342" s="1670">
        <f>SUM(J330)</f>
        <v>0</v>
      </c>
      <c r="K342" s="1670">
        <f>SUM(K330,K334,K340)</f>
        <v>163983</v>
      </c>
      <c r="L342" s="1677">
        <f>SUM(L330,L340,L341)</f>
        <v>148995</v>
      </c>
    </row>
    <row r="343" spans="1:14" ht="12.75" customHeight="1" thickTop="1" x14ac:dyDescent="0.2">
      <c r="A343" s="2169" t="s">
        <v>996</v>
      </c>
      <c r="B343" s="2170"/>
      <c r="C343" s="616"/>
      <c r="D343" s="616"/>
      <c r="E343" s="616"/>
      <c r="F343" s="616"/>
      <c r="G343" s="616"/>
      <c r="H343" s="616"/>
      <c r="I343" s="616"/>
      <c r="J343" s="616"/>
      <c r="K343" s="1684">
        <f>'Revenues 9-14'!J268-'Expenditures 15-22'!K342</f>
        <v>31762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95</v>
      </c>
      <c r="F349" s="466">
        <v>3554</v>
      </c>
      <c r="G349" s="466"/>
      <c r="H349" s="466"/>
      <c r="I349" s="467"/>
      <c r="J349" s="467"/>
      <c r="K349" s="1671">
        <f>SUM(C349:J349)</f>
        <v>3649</v>
      </c>
      <c r="L349" s="466">
        <v>10145</v>
      </c>
    </row>
    <row r="350" spans="1:14" ht="12.75" customHeight="1" thickBot="1" x14ac:dyDescent="0.25">
      <c r="A350" s="1668" t="s">
        <v>719</v>
      </c>
      <c r="B350" s="1669" t="s">
        <v>35</v>
      </c>
      <c r="C350" s="1670">
        <f>SUM(C348:C349)</f>
        <v>0</v>
      </c>
      <c r="D350" s="1670">
        <f t="shared" ref="D350:L350" si="26">SUM(D348:D349)</f>
        <v>0</v>
      </c>
      <c r="E350" s="1670">
        <f t="shared" si="26"/>
        <v>95</v>
      </c>
      <c r="F350" s="1670">
        <f t="shared" si="26"/>
        <v>3554</v>
      </c>
      <c r="G350" s="1670">
        <f t="shared" si="26"/>
        <v>0</v>
      </c>
      <c r="H350" s="1670">
        <f t="shared" si="26"/>
        <v>0</v>
      </c>
      <c r="I350" s="1670">
        <f t="shared" si="26"/>
        <v>0</v>
      </c>
      <c r="J350" s="1670">
        <f t="shared" si="26"/>
        <v>0</v>
      </c>
      <c r="K350" s="1670">
        <f t="shared" si="26"/>
        <v>3649</v>
      </c>
      <c r="L350" s="1670">
        <f t="shared" si="26"/>
        <v>10145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95</v>
      </c>
      <c r="F352" s="1670">
        <f t="shared" si="27"/>
        <v>3554</v>
      </c>
      <c r="G352" s="1670">
        <f t="shared" si="27"/>
        <v>0</v>
      </c>
      <c r="H352" s="1670">
        <f t="shared" si="27"/>
        <v>0</v>
      </c>
      <c r="I352" s="1670">
        <f t="shared" si="27"/>
        <v>0</v>
      </c>
      <c r="J352" s="1670">
        <f t="shared" si="27"/>
        <v>0</v>
      </c>
      <c r="K352" s="1670">
        <f t="shared" si="27"/>
        <v>3649</v>
      </c>
      <c r="L352" s="1670">
        <f t="shared" si="27"/>
        <v>10145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95</v>
      </c>
      <c r="F367" s="1670">
        <f t="shared" si="28"/>
        <v>3554</v>
      </c>
      <c r="G367" s="1670">
        <f t="shared" si="28"/>
        <v>0</v>
      </c>
      <c r="H367" s="1670">
        <f t="shared" si="28"/>
        <v>0</v>
      </c>
      <c r="I367" s="1670">
        <f t="shared" si="28"/>
        <v>0</v>
      </c>
      <c r="J367" s="1670">
        <f t="shared" si="28"/>
        <v>0</v>
      </c>
      <c r="K367" s="1670">
        <f t="shared" si="28"/>
        <v>3649</v>
      </c>
      <c r="L367" s="1670">
        <f t="shared" si="28"/>
        <v>10145</v>
      </c>
    </row>
    <row r="368" spans="1:14" ht="13.5" thickTop="1" x14ac:dyDescent="0.2">
      <c r="A368" s="2183" t="s">
        <v>996</v>
      </c>
      <c r="B368" s="2184"/>
      <c r="C368" s="654"/>
      <c r="D368" s="654"/>
      <c r="E368" s="626"/>
      <c r="F368" s="626"/>
      <c r="G368" s="626"/>
      <c r="H368" s="626"/>
      <c r="I368" s="626"/>
      <c r="J368" s="623"/>
      <c r="K368" s="1671">
        <f>'Revenues 9-14'!K268-'Expenditures 15-22'!K367</f>
        <v>41796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4d435f69-8686-490b-bd6d-b153bf22ab50"/>
    <ds:schemaRef ds:uri="6ce3111e-7420-4802-b50a-75d4e9a0b980"/>
    <ds:schemaRef ds:uri="http://schemas.microsoft.com/office/2006/metadata/properties"/>
    <ds:schemaRef ds:uri="http://purl.org/dc/dcmitype/"/>
    <ds:schemaRef ds:uri="http://schemas.microsoft.com/office/2006/documentManagement/types"/>
    <ds:schemaRef ds:uri="http://www.w3.org/XML/1998/namespace"/>
    <ds:schemaRef ds:uri="http://purl.org/dc/elements/1.1/"/>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2019-09-12T15:35:36Z</cp:lastPrinted>
  <dcterms:created xsi:type="dcterms:W3CDTF">2003-10-29T19:06:34Z</dcterms:created>
  <dcterms:modified xsi:type="dcterms:W3CDTF">2019-11-08T21:03:45Z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