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BAE2A8D-9961-4AEC-815D-14354232FDE1}" xr6:coauthVersionLast="36" xr6:coauthVersionMax="36" xr10:uidLastSave="{00000000-0000-0000-0000-000000000000}"/>
  <bookViews>
    <workbookView xWindow="15240" yWindow="-120" windowWidth="15600" windowHeight="18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7">' SEFA'!$B$1:$M$46</definedName>
    <definedName name="_xlnm.Print_Area" localSheetId="28">' SEFA (2)'!$B$1:$M$49</definedName>
    <definedName name="_xlnm.Print_Area" localSheetId="29">' SEFA (3)'!$B$1:$M$43</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 i="29" l="1"/>
  <c r="C39" i="3"/>
  <c r="C32" i="3"/>
  <c r="J18" i="12" l="1"/>
  <c r="C73" i="5" l="1"/>
  <c r="C69" i="5"/>
  <c r="G39" i="3" l="1"/>
  <c r="E4" i="7" l="1"/>
  <c r="H79" i="29"/>
  <c r="D5" i="29" l="1"/>
  <c r="E5" i="29"/>
  <c r="F5" i="29"/>
  <c r="G5" i="29"/>
  <c r="I21" i="179" l="1"/>
  <c r="G21" i="179"/>
  <c r="F21" i="179"/>
  <c r="E21" i="179"/>
  <c r="G17" i="179"/>
  <c r="I17" i="179"/>
  <c r="F17" i="179"/>
  <c r="E17" i="179"/>
  <c r="I16" i="184" l="1"/>
  <c r="G16" i="184"/>
  <c r="F16" i="184"/>
  <c r="E16" i="184"/>
  <c r="L27" i="183"/>
  <c r="I28" i="183"/>
  <c r="G28" i="183"/>
  <c r="F28" i="183"/>
  <c r="E28" i="183"/>
  <c r="I23" i="183"/>
  <c r="G23" i="183"/>
  <c r="F23" i="183"/>
  <c r="E23" i="183"/>
  <c r="I19" i="183"/>
  <c r="G19" i="183"/>
  <c r="F19" i="183"/>
  <c r="E19" i="183"/>
  <c r="I15" i="183"/>
  <c r="G15" i="183"/>
  <c r="F15" i="183"/>
  <c r="E15" i="183"/>
  <c r="L25" i="183"/>
  <c r="L24" i="183"/>
  <c r="L24" i="184"/>
  <c r="L23" i="184"/>
  <c r="L22" i="184"/>
  <c r="L21" i="184"/>
  <c r="L20" i="184"/>
  <c r="L19" i="184"/>
  <c r="L17" i="184"/>
  <c r="L15" i="184"/>
  <c r="L14" i="184"/>
  <c r="L13" i="184"/>
  <c r="L12" i="184"/>
  <c r="L11" i="184"/>
  <c r="B4" i="184"/>
  <c r="I24" i="179"/>
  <c r="G24" i="179"/>
  <c r="F24" i="179"/>
  <c r="E24" i="179"/>
  <c r="I23" i="179"/>
  <c r="G23" i="179"/>
  <c r="F23" i="179"/>
  <c r="E23" i="179"/>
  <c r="L29" i="183"/>
  <c r="L26" i="183"/>
  <c r="L22" i="183"/>
  <c r="L21" i="183"/>
  <c r="L20" i="183"/>
  <c r="L18" i="183"/>
  <c r="L17" i="183"/>
  <c r="L16" i="183"/>
  <c r="L14" i="183"/>
  <c r="L13" i="183"/>
  <c r="L12" i="183"/>
  <c r="L11" i="183"/>
  <c r="B4" i="183"/>
  <c r="G30" i="183" l="1"/>
  <c r="F30" i="183"/>
  <c r="F18" i="184" s="1"/>
  <c r="E30" i="183"/>
  <c r="E18" i="184" s="1"/>
  <c r="I30" i="183"/>
  <c r="I18" i="184" s="1"/>
  <c r="L28" i="183"/>
  <c r="L16" i="184"/>
  <c r="L23" i="183"/>
  <c r="L19" i="183"/>
  <c r="L15"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L30" i="183" l="1"/>
  <c r="G18" i="184"/>
  <c r="L18" i="184" s="1"/>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B6997" i="106" s="1"/>
  <c r="D6997" i="106" s="1"/>
  <c r="K94" i="29"/>
  <c r="B6999" i="106" s="1"/>
  <c r="D6999" i="106" s="1"/>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6" i="108"/>
  <c r="G26" i="108"/>
  <c r="D27" i="108"/>
  <c r="E27" i="108"/>
  <c r="F27" i="108"/>
  <c r="G27" i="108"/>
  <c r="F28" i="108"/>
  <c r="F31" i="108"/>
  <c r="G28" i="108"/>
  <c r="G30" i="108"/>
  <c r="D31" i="108"/>
  <c r="E31" i="108"/>
  <c r="G31" i="108"/>
  <c r="E33"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L22" i="37"/>
  <c r="F52" i="34" l="1"/>
  <c r="G29" i="108"/>
  <c r="L5" i="11"/>
  <c r="B2056" i="106" s="1"/>
  <c r="D2056" i="106" s="1"/>
  <c r="G15" i="145"/>
  <c r="D6103" i="106"/>
  <c r="H33" i="118"/>
  <c r="L13" i="11"/>
  <c r="B2060" i="106" s="1"/>
  <c r="D2060" i="106" s="1"/>
  <c r="H28" i="118"/>
  <c r="D24" i="37"/>
  <c r="B4270" i="106" s="1"/>
  <c r="D4270" i="106" s="1"/>
  <c r="B2724" i="106"/>
  <c r="D2724" i="106" s="1"/>
  <c r="F36" i="34"/>
  <c r="E34" i="108"/>
  <c r="F19" i="7"/>
  <c r="B1807" i="106" s="1"/>
  <c r="D1807" i="106" s="1"/>
  <c r="B7047" i="106"/>
  <c r="D7047" i="106" s="1"/>
  <c r="F69" i="34"/>
  <c r="K76" i="4"/>
  <c r="B3586" i="106" s="1"/>
  <c r="D3586" i="106" s="1"/>
  <c r="J77" i="4"/>
  <c r="B6262" i="106" s="1"/>
  <c r="D6262" i="106" s="1"/>
  <c r="J41" i="3"/>
  <c r="B6216" i="106" s="1"/>
  <c r="D6216" i="106" s="1"/>
  <c r="H76" i="4"/>
  <c r="B3298" i="106" s="1"/>
  <c r="D3298" i="106" s="1"/>
  <c r="F77" i="4"/>
  <c r="B3255" i="106" s="1"/>
  <c r="D3255" i="106" s="1"/>
  <c r="H342" i="29"/>
  <c r="B7221" i="106" s="1"/>
  <c r="D7221" i="106" s="1"/>
  <c r="F42" i="34"/>
  <c r="F46" i="34"/>
  <c r="I129" i="29"/>
  <c r="B7037" i="106" s="1"/>
  <c r="D7037" i="106" s="1"/>
  <c r="F36" i="108"/>
  <c r="J210" i="29"/>
  <c r="B7072" i="106" s="1"/>
  <c r="D7072" i="106" s="1"/>
  <c r="F50" i="34"/>
  <c r="F68" i="34"/>
  <c r="D36" i="108"/>
  <c r="F34" i="34"/>
  <c r="K184" i="29"/>
  <c r="F13" i="4" s="1"/>
  <c r="B2596" i="106" s="1"/>
  <c r="D2596" i="106" s="1"/>
  <c r="G14" i="4"/>
  <c r="B2609" i="106" s="1"/>
  <c r="D2609" i="106" s="1"/>
  <c r="F72" i="34"/>
  <c r="F67" i="34"/>
  <c r="J129" i="29"/>
  <c r="B7038" i="106" s="1"/>
  <c r="D7038" i="106" s="1"/>
  <c r="I210" i="29"/>
  <c r="B7071" i="106" s="1"/>
  <c r="D7071" i="106" s="1"/>
  <c r="G210" i="29"/>
  <c r="C352" i="29"/>
  <c r="B3621" i="106" s="1"/>
  <c r="D3621" i="106" s="1"/>
  <c r="D69" i="36"/>
  <c r="E29" i="108"/>
  <c r="G35" i="108"/>
  <c r="C342" i="29"/>
  <c r="B7216" i="106" s="1"/>
  <c r="D7216" i="106" s="1"/>
  <c r="E35" i="108"/>
  <c r="B3647" i="106"/>
  <c r="D3647" i="106" s="1"/>
  <c r="C129" i="29"/>
  <c r="C151" i="29" s="1"/>
  <c r="B1226" i="106" s="1"/>
  <c r="D1226" i="106" s="1"/>
  <c r="L367" i="29"/>
  <c r="J352" i="29"/>
  <c r="J367" i="29" s="1"/>
  <c r="B7245" i="106" s="1"/>
  <c r="D7245" i="106" s="1"/>
  <c r="H365" i="29"/>
  <c r="B7242" i="106" s="1"/>
  <c r="D7242"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0" i="106" l="1"/>
  <c r="D7251" i="106"/>
  <c r="D7254" i="106"/>
  <c r="D7256" i="106"/>
  <c r="K28" i="118"/>
  <c r="O27" i="118" s="1"/>
  <c r="O29" i="118" s="1"/>
  <c r="L16" i="11"/>
  <c r="B2061" i="106" s="1"/>
  <c r="D2061" i="106" s="1"/>
  <c r="B2031" i="106"/>
  <c r="D2031" i="106" s="1"/>
  <c r="H77" i="4"/>
  <c r="B3299" i="106" s="1"/>
  <c r="D3299" i="106" s="1"/>
  <c r="K77" i="4"/>
  <c r="B3587" i="106" s="1"/>
  <c r="D3587" i="106" s="1"/>
  <c r="D51" i="36"/>
  <c r="B1328" i="106"/>
  <c r="D1328" i="106" s="1"/>
  <c r="B1266" i="106"/>
  <c r="D1266" i="106" s="1"/>
  <c r="J16" i="4"/>
  <c r="B6226" i="106" s="1"/>
  <c r="D6226" i="106" s="1"/>
  <c r="F41" i="108"/>
  <c r="G43" i="108" s="1"/>
  <c r="I151" i="29"/>
  <c r="F59" i="34" s="1"/>
  <c r="D44" i="36"/>
  <c r="C367" i="29"/>
  <c r="B3622" i="106" s="1"/>
  <c r="D3622" i="106" s="1"/>
  <c r="B1381" i="106"/>
  <c r="D1381" i="106" s="1"/>
  <c r="B5770" i="106"/>
  <c r="D5770" i="106" s="1"/>
  <c r="I7" i="4"/>
  <c r="B4444" i="106" s="1"/>
  <c r="D4444" i="106" s="1"/>
  <c r="B1225" i="106"/>
  <c r="D1225" i="106" s="1"/>
  <c r="K365" i="29"/>
  <c r="K16" i="4" s="1"/>
  <c r="F66" i="34"/>
  <c r="J151" i="29"/>
  <c r="B7052" i="106" s="1"/>
  <c r="D7052" i="106" s="1"/>
  <c r="B1365" i="106"/>
  <c r="D1365" i="106" s="1"/>
  <c r="F65" i="34"/>
  <c r="B5527" i="106"/>
  <c r="D5527" i="106" s="1"/>
  <c r="N23" i="3"/>
  <c r="B284" i="106" s="1"/>
  <c r="D284" i="106" s="1"/>
  <c r="L114" i="29"/>
  <c r="B7235" i="106"/>
  <c r="D7235" i="106" s="1"/>
  <c r="K342" i="29"/>
  <c r="F13" i="34" s="1"/>
  <c r="C114" i="29"/>
  <c r="B757" i="106" s="1"/>
  <c r="D757" i="106" s="1"/>
  <c r="B5778" i="106"/>
  <c r="D5778" i="106" s="1"/>
  <c r="G6" i="4"/>
  <c r="B2604" i="106" s="1"/>
  <c r="D2604"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43" i="106"/>
  <c r="D7243" i="106" s="1"/>
  <c r="K367" i="29"/>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J10" i="4"/>
  <c r="B6225" i="106" s="1"/>
  <c r="D6225" i="106" s="1"/>
  <c r="J19" i="4"/>
  <c r="B6229" i="106" s="1"/>
  <c r="D6229"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F8" i="146"/>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77" i="34" l="1"/>
  <c r="F179" i="34"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<sst xmlns="http://schemas.openxmlformats.org/spreadsheetml/2006/main" count="5252" uniqueCount="2153">
  <si>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</si>
  <si>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</si>
  <si>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</si>
  <si>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</si>
  <si>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</si>
  <si>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</si>
  <si>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</si>
  <si>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</si>
  <si>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</si>
  <si>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</si>
  <si>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</si>
  <si>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</si>
  <si>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</si>
  <si>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</si>
  <si>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</si>
  <si>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</si>
  <si>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</si>
  <si>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</si>
  <si>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</si>
  <si>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</si>
  <si>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</si>
  <si>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</si>
  <si>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</si>
  <si>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</si>
  <si>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</si>
  <si>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</si>
  <si>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</si>
  <si>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</si>
  <si>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</si>
  <si>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</si>
  <si>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</si>
  <si>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</si>
  <si>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</si>
  <si>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</si>
  <si>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</si>
  <si>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</si>
  <si>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</si>
  <si>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</si>
  <si>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</si>
  <si>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</si>
  <si>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</si>
  <si>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</si>
  <si>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</si>
  <si>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</si>
  <si>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</si>
  <si>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</si>
  <si>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</si>
  <si>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</si>
  <si>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</si>
  <si>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</si>
  <si>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</si>
  <si>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</si>
  <si>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</si>
  <si>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</si>
  <si>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</si>
  <si>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</si>
  <si>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</si>
  <si>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</si>
  <si>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</si>
  <si>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</si>
  <si>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</si>
  <si>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</si>
  <si>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</si>
  <si>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</si>
  <si>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</si>
  <si>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</si>
  <si>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</si>
  <si>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</si>
  <si>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</si>
  <si>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</si>
  <si>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</si>
  <si>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</si>
  <si>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</si>
  <si>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</si>
  <si>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</si>
  <si>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</si>
  <si>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</si>
  <si>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</si>
  <si>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</si>
  <si>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</si>
  <si>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</si>
  <si>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</si>
  <si>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</si>
  <si>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</si>
  <si>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</si>
  <si>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</si>
  <si>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</si>
  <si>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</si>
  <si>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</si>
  <si>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</si>
  <si>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</si>
  <si>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</si>
  <si>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</si>
  <si>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</si>
  <si>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</si>
  <si>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</si>
  <si>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</si>
  <si>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</si>
  <si>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</si>
  <si>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</si>
  <si>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</si>
  <si>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</si>
  <si>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</si>
  <si>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</si>
  <si>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</si>
  <si>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</si>
  <si>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</si>
  <si>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</si>
  <si>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</si>
  <si>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</si>
  <si>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</si>
  <si>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</si>
  <si>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</si>
  <si>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</si>
  <si>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</si>
  <si>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</si>
  <si>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</si>
  <si>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</si>
  <si>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</si>
  <si>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</si>
  <si>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</si>
  <si>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</si>
  <si>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</si>
  <si>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</si>
  <si>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</si>
  <si>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</si>
  <si>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</si>
  <si>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</si>
  <si>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</si>
  <si>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</si>
  <si>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</si>
  <si>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</si>
  <si>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</si>
  <si>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</si>
  <si>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</si>
  <si>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</si>
  <si>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</si>
  <si>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</si>
  <si>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</si>
  <si>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</si>
  <si>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</si>
  <si>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</si>
  <si>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</si>
  <si>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</si>
  <si>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</si>
  <si>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</si>
  <si>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</si>
  <si>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</si>
  <si>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</si>
  <si>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</si>
  <si>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</si>
  <si>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</si>
  <si>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</si>
  <si>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</si>
  <si>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</si>
  <si>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</si>
  <si>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</si>
  <si>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</si>
  <si>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</si>
  <si>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</si>
  <si>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</si>
  <si>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</si>
  <si>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</si>
  <si>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</si>
  <si>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</si>
  <si>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</si>
  <si>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</si>
  <si>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</si>
  <si>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</si>
  <si>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</si>
  <si>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</si>
  <si>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</si>
  <si>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</si>
  <si>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</si>
  <si>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</si>
  <si>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</si>
  <si>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</si>
  <si>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</si>
  <si>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</si>
  <si>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</si>
  <si>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</si>
  <si>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</si>
  <si>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</si>
  <si>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</si>
  <si>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</si>
  <si>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</si>
  <si>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</si>
  <si>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</si>
  <si>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</si>
  <si>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</si>
  <si>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</si>
  <si>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</si>
  <si>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</si>
  <si>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</si>
  <si>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</si>
  <si>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</si>
  <si>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</si>
  <si>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</si>
  <si>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</si>
  <si>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</si>
  <si>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</si>
  <si>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</si>
  <si>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</si>
  <si>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</si>
  <si>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</si>
  <si>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</si>
  <si>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</si>
  <si>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</si>
  <si>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</si>
  <si>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</si>
  <si>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</si>
  <si>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</si>
  <si>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</si>
  <si>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</si>
  <si>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</si>
  <si>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</si>
  <si>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</si>
  <si>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</si>
  <si>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</si>
  <si>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</si>
  <si>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</si>
  <si>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</si>
  <si>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</si>
  <si>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</si>
  <si>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</si>
  <si>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</si>
  <si>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</si>
  <si>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</si>
  <si>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</si>
  <si>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</si>
  <si>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</si>
  <si>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</si>
  <si>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</si>
  <si>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</si>
  <si>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</si>
  <si>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</si>
  <si>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</si>
  <si>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</si>
  <si>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</si>
  <si>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</si>
  <si>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</si>
  <si>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</si>
  <si>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</si>
  <si>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</si>
  <si>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</si>
  <si>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</si>
  <si>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</si>
  <si>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</si>
  <si>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</si>
  <si>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</si>
  <si>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</si>
  <si>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</si>
  <si>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</si>
  <si>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</si>
  <si>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</si>
  <si>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</si>
  <si>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</si>
  <si>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</si>
  <si>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</si>
  <si>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</si>
  <si>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</si>
  <si>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</si>
  <si>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</si>
  <si>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</si>
  <si>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</si>
  <si>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</si>
  <si>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</si>
  <si>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</si>
  <si>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</si>
  <si>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</si>
  <si>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</si>
  <si>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</si>
  <si>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</si>
  <si>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</si>
  <si>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</si>
  <si>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</si>
  <si>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</si>
  <si>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</si>
  <si>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</si>
  <si>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</si>
  <si>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</si>
  <si>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</si>
  <si>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</si>
  <si>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</si>
  <si>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</si>
  <si>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</si>
  <si>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</si>
  <si>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</si>
  <si>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</si>
  <si>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</si>
  <si>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</si>
  <si>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</si>
  <si>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</si>
  <si>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</si>
  <si>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</si>
  <si>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</si>
  <si>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</si>
  <si>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</si>
  <si>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</si>
  <si>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</si>
  <si>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</si>
  <si>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</si>
  <si>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</si>
  <si>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</si>
  <si>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</si>
  <si>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</si>
  <si>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</si>
  <si>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</si>
  <si>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</si>
  <si>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</si>
  <si>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</si>
  <si>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</si>
  <si>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</si>
  <si>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</si>
  <si>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</si>
  <si>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</si>
  <si>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</si>
  <si>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</si>
  <si>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</si>
  <si>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</si>
  <si>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</si>
  <si>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</si>
  <si>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</si>
  <si>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</si>
  <si>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</si>
  <si>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</si>
  <si>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</si>
  <si>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</si>
  <si>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</si>
  <si>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</si>
  <si>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</si>
  <si>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</si>
  <si>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</si>
  <si>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</si>
  <si>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</si>
  <si>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</si>
  <si>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</si>
  <si>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</si>
  <si>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</si>
  <si>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</si>
  <si>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</si>
  <si>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</si>
  <si>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</si>
  <si>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</si>
  <si>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</si>
  <si>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</si>
  <si>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</si>
  <si>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</si>
  <si>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</si>
  <si>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</si>
  <si>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</si>
  <si>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</si>
  <si>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</si>
  <si>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</si>
  <si>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</si>
  <si>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</si>
  <si>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</si>
  <si>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</si>
  <si>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</si>
  <si>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</si>
  <si>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</si>
  <si>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</si>
  <si>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</si>
  <si>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</si>
  <si>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</si>
  <si>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</si>
  <si>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</si>
  <si>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</si>
  <si>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</si>
  <si>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</si>
  <si>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</si>
  <si>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</si>
  <si>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</si>
  <si>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</si>
  <si>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</si>
  <si>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</si>
  <si>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</si>
  <si>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</si>
  <si>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</si>
  <si>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</si>
  <si>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</si>
  <si>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</si>
  <si>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</si>
  <si>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</si>
  <si>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</si>
  <si>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</si>
  <si>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</si>
  <si>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</si>
  <si>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</si>
  <si>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</si>
  <si>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</si>
  <si>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</si>
  <si>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</si>
  <si>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</si>
  <si>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</si>
  <si>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</si>
  <si>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</si>
  <si>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</si>
  <si>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</si>
  <si>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</si>
  <si>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</si>
  <si>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</si>
  <si>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</si>
  <si>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</si>
  <si>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</si>
  <si>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</si>
  <si>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</si>
  <si>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</si>
  <si>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</si>
  <si>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</si>
  <si>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</si>
  <si>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</si>
  <si>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</si>
  <si>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</si>
  <si>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</si>
  <si>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</si>
  <si>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</si>
  <si>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</si>
  <si>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</si>
  <si>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</si>
  <si>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</si>
  <si>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</si>
  <si>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</si>
  <si>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</si>
  <si>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</si>
  <si>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</si>
  <si>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</si>
  <si>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</si>
  <si>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</si>
  <si>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</si>
  <si>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</si>
  <si>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</si>
  <si>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</si>
  <si>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</si>
  <si>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</si>
  <si>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</si>
  <si>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</si>
  <si>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</si>
  <si>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</si>
  <si>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</si>
  <si>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</si>
  <si>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</si>
  <si>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</si>
  <si>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</si>
  <si>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</si>
  <si>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</si>
  <si>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</si>
  <si>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</si>
  <si>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</si>
  <si>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</si>
  <si>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</si>
  <si>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</si>
  <si>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</si>
  <si>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</si>
  <si>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</si>
  <si>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</si>
  <si>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</si>
  <si>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</si>
  <si>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</si>
  <si>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</si>
  <si>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</si>
  <si>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</si>
  <si>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</si>
  <si>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</si>
  <si>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</si>
  <si>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</si>
  <si>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</si>
  <si>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</si>
  <si>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</si>
  <si>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</si>
  <si>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</si>
  <si>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</si>
  <si>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</si>
  <si>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</si>
  <si>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</si>
  <si>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</si>
  <si>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</si>
  <si>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</si>
  <si>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</si>
  <si>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</si>
  <si>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</si>
  <si>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</si>
  <si>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</si>
  <si>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</si>
  <si>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</si>
  <si>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</si>
  <si>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</si>
  <si>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</si>
  <si>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</si>
  <si>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</si>
  <si>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</si>
  <si>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</si>
  <si>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</si>
  <si>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</si>
  <si>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</si>
  <si>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</si>
  <si>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</si>
  <si>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</si>
  <si>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</si>
  <si>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</si>
  <si>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</si>
  <si>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</si>
  <si>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</si>
  <si>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</si>
  <si>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</si>
  <si>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</si>
  <si>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</si>
  <si>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</si>
  <si>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</si>
  <si>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</si>
  <si>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</si>
  <si>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</si>
  <si>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</si>
  <si>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</si>
  <si>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</si>
  <si>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</si>
  <si>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</si>
  <si>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</si>
  <si>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</si>
  <si>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</si>
  <si>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</si>
  <si>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</si>
  <si>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</si>
  <si>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</si>
  <si>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</si>
  <si>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</si>
  <si>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</si>
  <si>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</si>
  <si>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</si>
  <si>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</si>
  <si>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</si>
  <si>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</si>
  <si>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</si>
  <si>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</si>
  <si>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</si>
  <si>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</si>
  <si>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</si>
  <si>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</si>
  <si>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</si>
  <si>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</si>
  <si>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</si>
  <si>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</si>
  <si>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</si>
  <si>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</si>
  <si>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</si>
  <si>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</si>
  <si>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</si>
  <si>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</si>
  <si>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</si>
  <si>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</si>
  <si>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</si>
  <si>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</si>
  <si>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</si>
  <si>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</si>
  <si>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</si>
  <si>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</si>
  <si>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</si>
  <si>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</si>
  <si>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</si>
  <si>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</si>
  <si>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</si>
  <si>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</si>
  <si>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</si>
  <si>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</si>
  <si>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</si>
  <si>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</si>
  <si>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</si>
  <si>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</si>
  <si>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</si>
  <si>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</si>
  <si>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</si>
  <si>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</si>
  <si>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</si>
  <si>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</si>
  <si>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</si>
  <si>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</si>
  <si>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</si>
  <si>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</si>
  <si>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</si>
  <si>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</si>
  <si>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</si>
  <si>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</si>
  <si>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</si>
  <si>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</si>
  <si>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</si>
  <si>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</si>
  <si>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</si>
  <si>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</si>
  <si>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</si>
  <si>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</si>
  <si>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</si>
  <si>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</si>
  <si>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</si>
  <si>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</si>
  <si>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</si>
  <si>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</si>
  <si>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</si>
  <si>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</si>
  <si>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</si>
  <si>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</si>
  <si>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</si>
  <si>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</si>
  <si>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</si>
  <si>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</si>
  <si>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</si>
  <si>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</si>
  <si>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</si>
  <si>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</si>
  <si>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</si>
  <si>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</si>
  <si>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</si>
  <si>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</si>
  <si>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</si>
  <si>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</si>
  <si>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</si>
  <si>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</si>
  <si>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</si>
  <si>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</si>
  <si>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</si>
  <si>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</si>
  <si>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</si>
  <si>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</si>
  <si>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</si>
  <si>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</si>
  <si>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</si>
  <si>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</si>
  <si>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</si>
  <si>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</si>
  <si>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</si>
  <si>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</si>
  <si>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</si>
  <si>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</si>
  <si>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</si>
  <si>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</si>
  <si>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</si>
  <si>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</si>
  <si>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</si>
  <si>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</si>
  <si>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</si>
  <si>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</si>
  <si>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</si>
  <si>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</si>
  <si>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</si>
  <si>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</si>
  <si>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</si>
  <si>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</si>
  <si>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</si>
  <si>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</si>
  <si>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</si>
  <si>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</si>
  <si>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</si>
  <si>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</si>
  <si>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</si>
  <si>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</si>
  <si>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</si>
  <si>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</si>
  <si>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</si>
  <si>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</si>
  <si>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</si>
  <si>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</si>
  <si>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</si>
  <si>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</si>
  <si>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</si>
  <si>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</si>
  <si>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</si>
  <si>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</si>
  <si>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</si>
  <si>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</si>
  <si>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</si>
  <si>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</si>
  <si>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</si>
  <si>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</si>
  <si>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</si>
  <si>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</si>
  <si>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</si>
  <si>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</si>
  <si>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</si>
  <si>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</si>
  <si>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</si>
  <si>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</si>
  <si>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</si>
  <si>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</si>
  <si>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</si>
  <si>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</si>
  <si>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</si>
  <si>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</si>
  <si>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</si>
  <si>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</si>
  <si>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</si>
  <si>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</si>
  <si>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</si>
  <si>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</si>
  <si>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</si>
  <si>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</si>
  <si>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</si>
  <si>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</si>
  <si>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</si>
  <si>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</si>
  <si>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</si>
  <si>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</si>
  <si>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</si>
  <si>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</si>
  <si>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</si>
  <si>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</si>
  <si>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</si>
  <si>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</si>
  <si>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</si>
  <si>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</si>
  <si>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</si>
  <si>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</si>
  <si>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</si>
  <si>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</si>
  <si>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</si>
  <si>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</si>
  <si>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</si>
  <si>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</si>
  <si>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</si>
  <si>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</si>
  <si>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</si>
  <si>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</si>
  <si>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</si>
  <si>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</si>
  <si>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</si>
  <si>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</si>
  <si>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</si>
  <si>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</si>
  <si>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</si>
  <si>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</si>
  <si>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</si>
  <si>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</si>
  <si>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</si>
  <si>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</si>
  <si>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</si>
  <si>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</si>
  <si>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</si>
  <si>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</si>
  <si>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</si>
  <si>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</si>
  <si>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</si>
  <si>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</si>
  <si>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</si>
  <si>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</si>
  <si>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</si>
  <si>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</si>
  <si>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</si>
  <si>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</si>
  <si>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</si>
  <si>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</si>
  <si>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</si>
  <si>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</si>
  <si>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</si>
  <si>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</si>
  <si>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</si>
  <si>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</si>
  <si>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</si>
  <si>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</si>
  <si>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</si>
  <si>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</si>
  <si>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</si>
  <si>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</si>
  <si>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</si>
  <si>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</si>
  <si>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</si>
  <si>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</si>
  <si>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</si>
  <si>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</si>
  <si>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</si>
  <si>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</si>
  <si>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</si>
  <si>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</si>
  <si>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</si>
  <si>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</si>
  <si>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</si>
  <si>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</si>
  <si>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</si>
  <si>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</si>
  <si>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</si>
  <si>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</si>
  <si>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</si>
  <si>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</si>
  <si>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</si>
  <si>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</si>
  <si>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</si>
  <si>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</si>
  <si>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</si>
  <si>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</si>
  <si>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</si>
  <si>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</si>
  <si>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</si>
  <si>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</si>
  <si>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</si>
  <si>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</si>
  <si>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</si>
  <si>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</si>
  <si>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</si>
  <si>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</si>
  <si>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</si>
  <si>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</si>
  <si>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</si>
  <si>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</si>
  <si>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</si>
  <si>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</si>
  <si>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</si>
  <si>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</si>
  <si>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</si>
  <si>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</si>
  <si>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</si>
  <si>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</si>
  <si>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</si>
  <si>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</si>
  <si>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</si>
  <si>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</si>
  <si>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</si>
  <si>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</si>
  <si>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</si>
  <si>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</si>
  <si>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</si>
  <si>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</si>
  <si>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</si>
  <si>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</si>
  <si>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</si>
  <si>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</si>
  <si>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</si>
  <si>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</si>
  <si>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</si>
  <si>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</si>
  <si>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</si>
  <si>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</si>
  <si>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</si>
  <si>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</si>
  <si>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</si>
  <si>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</si>
  <si>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</si>
  <si>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</si>
  <si>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</si>
  <si>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</si>
  <si>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</si>
  <si>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</si>
  <si>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</si>
  <si>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</si>
  <si>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</si>
  <si>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</si>
  <si>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</si>
  <si>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</si>
  <si>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</si>
  <si>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</si>
  <si>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</si>
  <si>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</si>
  <si>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</si>
  <si>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</si>
  <si>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</si>
  <si>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</si>
  <si>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</si>
  <si>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</si>
  <si>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</si>
  <si>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</si>
  <si>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</si>
  <si>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</si>
  <si>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</si>
  <si>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</si>
  <si>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</si>
  <si>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</si>
  <si>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</si>
  <si>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</si>
  <si>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</si>
  <si>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</si>
  <si>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</si>
  <si>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</si>
  <si>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</si>
  <si>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</si>
  <si>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</si>
  <si>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</si>
  <si>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</si>
  <si>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</si>
  <si>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</si>
  <si>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</si>
  <si>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</si>
  <si>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</si>
  <si>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</si>
  <si>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</si>
  <si>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</si>
  <si>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</si>
  <si>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</si>
  <si>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</si>
  <si>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</si>
  <si>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</si>
  <si>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</si>
  <si>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</si>
  <si>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</si>
  <si>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</si>
  <si>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</si>
  <si>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</si>
  <si>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</si>
  <si>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</si>
  <si>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</si>
  <si>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</si>
  <si>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</si>
  <si>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</si>
  <si>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</si>
  <si>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</si>
  <si>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</si>
  <si>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</si>
  <si>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</si>
  <si>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</si>
  <si>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</si>
  <si>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</si>
  <si>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</si>
  <si>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</si>
  <si>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</si>
  <si>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</si>
  <si>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</si>
  <si>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</si>
  <si>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</si>
  <si>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</si>
  <si>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</si>
  <si>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</si>
  <si>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</si>
  <si>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</si>
  <si>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</si>
  <si>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</si>
  <si>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</si>
  <si>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</si>
  <si>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</si>
  <si>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</si>
  <si>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</si>
  <si>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</si>
  <si>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</si>
  <si>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</si>
  <si>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</si>
  <si>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</si>
  <si>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</si>
  <si>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</si>
  <si>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</si>
  <si>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</si>
  <si>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</si>
  <si>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</si>
  <si>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</si>
  <si>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</si>
  <si>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</si>
  <si>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</si>
  <si>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</si>
  <si>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</si>
  <si>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</si>
  <si>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</si>
  <si>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</si>
  <si>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</si>
  <si>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</si>
  <si>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</si>
  <si>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</si>
  <si>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</si>
  <si>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</si>
  <si>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</si>
  <si>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</si>
  <si>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</si>
  <si>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</si>
  <si>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</si>
  <si>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</si>
  <si>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</si>
  <si>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</si>
  <si>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</si>
  <si>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</si>
  <si>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</si>
  <si>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</si>
  <si>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</si>
  <si>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</si>
  <si>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</si>
  <si>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</si>
  <si>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</si>
  <si>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</si>
  <si>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</si>
  <si>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</si>
  <si>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</si>
  <si>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</si>
  <si>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</si>
  <si>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</si>
  <si>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</si>
  <si>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</si>
  <si>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</si>
  <si>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</si>
  <si>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</si>
  <si>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</si>
  <si>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</si>
  <si>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</si>
  <si>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</si>
  <si>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</si>
  <si>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</si>
  <si>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</si>
  <si>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</si>
  <si>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</si>
  <si>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</si>
  <si>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</si>
  <si>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</si>
  <si>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</si>
  <si>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</si>
  <si>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</si>
  <si>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</si>
  <si>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</si>
  <si>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</si>
  <si>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</si>
  <si>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</si>
  <si>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</si>
  <si>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</si>
  <si>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</si>
  <si>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</si>
  <si>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</si>
  <si>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</si>
  <si>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</si>
  <si>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</si>
  <si>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</si>
  <si>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</si>
  <si>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</si>
  <si>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</si>
  <si>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</si>
  <si>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</si>
  <si>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</si>
  <si>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</si>
  <si>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</si>
  <si>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</si>
  <si>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</si>
  <si>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</si>
  <si>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</si>
  <si>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</si>
  <si>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</si>
  <si>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</si>
  <si>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</si>
  <si>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</si>
  <si>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</si>
  <si>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</si>
  <si>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</si>
  <si>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</si>
  <si>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</si>
  <si>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</si>
  <si>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</si>
  <si>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</si>
  <si>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</si>
  <si>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</si>
  <si>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</si>
  <si>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</si>
  <si>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</si>
  <si>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</si>
  <si>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</si>
  <si>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</si>
  <si>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</si>
  <si>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</si>
  <si>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</si>
  <si>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</si>
  <si>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</si>
  <si>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</si>
  <si>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</si>
  <si>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</si>
  <si>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</si>
  <si>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</si>
  <si>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</si>
  <si>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</si>
  <si>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</si>
  <si>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</si>
  <si>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</si>
  <si>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</si>
  <si>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</si>
  <si>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</si>
  <si>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</si>
  <si>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</si>
  <si>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</si>
  <si>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</si>
  <si>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</si>
  <si>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</si>
  <si>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</si>
  <si>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</si>
  <si>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</si>
  <si>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</si>
  <si>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</si>
  <si>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</si>
  <si>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</si>
  <si>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</si>
  <si>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</si>
  <si>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</si>
  <si>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</si>
  <si>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</si>
  <si>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</si>
  <si>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</si>
  <si>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</si>
  <si>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</si>
  <si>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</si>
  <si>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</si>
  <si>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</si>
  <si>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</si>
  <si>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</si>
  <si>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</si>
  <si>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</si>
  <si>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</si>
  <si>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</si>
  <si>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</si>
  <si>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</si>
  <si>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</si>
  <si>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</si>
  <si>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</si>
  <si>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</si>
  <si>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</si>
  <si>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</si>
  <si>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</si>
  <si>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</si>
  <si>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</si>
  <si>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</si>
  <si>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</si>
  <si>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</si>
  <si>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</si>
  <si>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</si>
  <si>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</si>
  <si>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</si>
  <si>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</si>
  <si>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</si>
  <si>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</si>
  <si>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</si>
  <si>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</si>
  <si>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</si>
  <si>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</si>
  <si>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</si>
  <si>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</si>
  <si>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</si>
  <si>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</si>
  <si>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</si>
  <si>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</si>
  <si>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</si>
  <si>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</si>
  <si>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</si>
  <si>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</si>
  <si>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</si>
  <si>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</si>
  <si>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</si>
  <si>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</si>
  <si>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</si>
  <si>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</si>
  <si>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</si>
  <si>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</si>
  <si>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</si>
  <si>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</si>
  <si>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</si>
  <si>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</si>
  <si>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</si>
  <si>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</si>
  <si>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</si>
  <si>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</si>
  <si>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</si>
  <si>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</si>
  <si>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</si>
  <si>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</si>
  <si>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</si>
  <si>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</si>
  <si>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</si>
  <si>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</si>
  <si>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</si>
  <si>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</si>
  <si>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</si>
  <si>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</si>
  <si>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</si>
  <si>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</si>
  <si>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</si>
  <si>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</si>
  <si>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</si>
  <si>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</si>
  <si>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</si>
  <si>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</si>
  <si>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</si>
  <si>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</si>
  <si>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</si>
  <si>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</si>
  <si>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</si>
  <si>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</si>
  <si>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</si>
  <si>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</si>
  <si>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</si>
  <si>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</si>
  <si>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</si>
  <si>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</si>
  <si>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</si>
  <si>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</si>
  <si>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</si>
  <si>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</si>
  <si>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</si>
  <si>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</si>
  <si>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</si>
  <si>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</si>
  <si>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</si>
  <si>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</si>
  <si>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</si>
  <si>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</si>
  <si>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</si>
  <si>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</si>
  <si>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</si>
  <si>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</si>
  <si>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</si>
  <si>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</si>
  <si>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</si>
  <si>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</si>
  <si>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</si>
  <si>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</si>
  <si>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</si>
  <si>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</si>
  <si>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</si>
  <si>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</si>
  <si>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</si>
  <si>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</si>
  <si>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</si>
  <si>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</si>
  <si>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</si>
  <si>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</si>
  <si>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</si>
  <si>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</si>
  <si>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</si>
  <si>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</si>
  <si>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</si>
  <si>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</si>
  <si>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</si>
  <si>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</si>
  <si>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</si>
  <si>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</si>
  <si>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</si>
  <si>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</si>
  <si>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</si>
  <si>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</si>
  <si>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</si>
  <si>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</si>
  <si>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</si>
  <si>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</si>
  <si>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</si>
  <si>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</si>
  <si>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</si>
  <si>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</si>
  <si>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</si>
  <si>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</si>
  <si>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</si>
  <si>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</si>
  <si>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</si>
  <si>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</si>
  <si>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</si>
  <si>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</si>
  <si>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</si>
  <si>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</si>
  <si>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</si>
  <si>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</si>
  <si>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</si>
  <si>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</si>
  <si>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</si>
  <si>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</si>
  <si>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</si>
  <si>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</si>
  <si>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</si>
  <si>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</si>
  <si>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</si>
  <si>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</si>
  <si>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</si>
  <si>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</si>
  <si>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</si>
  <si>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</si>
  <si>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</si>
  <si>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</si>
  <si>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</si>
  <si>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</si>
  <si>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</si>
  <si>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</si>
  <si>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</si>
  <si>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</si>
  <si>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</si>
  <si>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</si>
  <si>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</si>
  <si>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</si>
  <si>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</si>
  <si>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</si>
  <si>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</si>
  <si>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</si>
  <si>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</si>
  <si>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</si>
  <si>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</si>
  <si>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</si>
  <si>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</si>
  <si>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</si>
  <si>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</si>
  <si>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</si>
  <si>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</si>
  <si>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</si>
  <si>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</si>
  <si>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</si>
  <si>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</si>
  <si>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</si>
  <si>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</si>
  <si>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</si>
  <si>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</si>
  <si>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</si>
  <si>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</si>
  <si>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</si>
  <si>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</si>
  <si>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</si>
  <si>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</si>
  <si>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</si>
  <si>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</si>
  <si>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</si>
  <si>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</si>
  <si>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</si>
  <si>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</si>
  <si>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</si>
  <si>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</si>
  <si>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</si>
  <si>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</si>
  <si>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</si>
  <si>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</si>
  <si>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</si>
  <si>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</si>
  <si>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</si>
  <si>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</si>
  <si>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</si>
  <si>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</si>
  <si>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</si>
  <si>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</si>
  <si>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</si>
  <si>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</si>
  <si>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</si>
  <si>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</si>
  <si>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</si>
  <si>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</si>
  <si>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</si>
  <si>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</si>
  <si>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</si>
  <si>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</si>
  <si>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</si>
  <si>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</si>
  <si>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</si>
  <si>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</si>
  <si>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</si>
  <si>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</si>
  <si>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</si>
  <si>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</si>
  <si>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</si>
  <si>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</si>
  <si>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</si>
  <si>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</si>
  <si>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</si>
  <si>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</si>
  <si>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</si>
  <si>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</si>
  <si>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</si>
  <si>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</si>
  <si>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</si>
  <si>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</si>
  <si>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</si>
  <si>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</si>
  <si>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</si>
  <si>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</si>
  <si>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</si>
  <si>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</si>
  <si>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</si>
  <si>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</si>
  <si>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</si>
  <si>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</si>
  <si>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</si>
  <si>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</si>
  <si>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</si>
  <si>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</si>
  <si>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</si>
  <si>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</si>
  <si>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</si>
  <si>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</si>
  <si>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</si>
  <si>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</si>
  <si>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</si>
  <si>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</si>
  <si>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</si>
  <si>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</si>
  <si>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</si>
  <si>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</si>
  <si>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</si>
  <si>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</si>
  <si>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</si>
  <si>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</si>
  <si>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</si>
  <si>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</si>
  <si>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</si>
  <si>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</si>
  <si>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</si>
  <si>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</si>
  <si>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</si>
  <si>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</si>
  <si>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</si>
  <si>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</si>
  <si>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</si>
  <si>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</si>
  <si>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</si>
  <si>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</si>
  <si>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</si>
  <si>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</si>
  <si>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</si>
  <si>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</si>
  <si>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</si>
  <si>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</si>
  <si>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</si>
  <si>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</si>
  <si>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</si>
  <si>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</si>
  <si>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</si>
  <si>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</si>
  <si>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</si>
  <si>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</si>
  <si>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</si>
  <si>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</si>
  <si>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</si>
  <si>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</si>
  <si>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</si>
  <si>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</si>
  <si>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</si>
  <si>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</si>
  <si>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</si>
  <si>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</si>
  <si>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</si>
  <si>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</si>
  <si>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</si>
  <si>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</si>
  <si>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</si>
  <si>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</si>
  <si>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</si>
  <si>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</si>
  <si>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</si>
  <si>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</si>
  <si>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</si>
  <si>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</si>
  <si>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</si>
  <si>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</si>
  <si>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</si>
  <si>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</si>
  <si>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</si>
  <si>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</si>
  <si>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</si>
  <si>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</si>
  <si>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</si>
  <si>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</si>
  <si>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</si>
  <si>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</si>
  <si>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</si>
  <si>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</si>
  <si>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</si>
  <si>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</si>
  <si>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</si>
  <si>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</si>
  <si>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</si>
  <si>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</si>
  <si>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</si>
  <si>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</si>
  <si>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</si>
  <si>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</si>
  <si>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</si>
  <si>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</si>
  <si>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</si>
  <si>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</si>
  <si>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</si>
  <si>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</si>
  <si>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</si>
  <si>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</si>
  <si>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</si>
  <si>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</si>
  <si>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</si>
  <si>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</si>
  <si>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</si>
  <si>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</si>
  <si>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</si>
  <si>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</si>
  <si>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</si>
  <si>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</si>
  <si>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</si>
  <si>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</si>
  <si>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</si>
  <si>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</si>
  <si>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</si>
  <si>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</si>
  <si>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</si>
  <si>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</si>
  <si>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</si>
  <si>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</si>
  <si>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</si>
  <si>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</si>
  <si>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</si>
  <si>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</si>
  <si>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</si>
  <si>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</si>
  <si>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</si>
  <si>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</si>
  <si>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</si>
  <si>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</si>
  <si>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</si>
  <si>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</si>
  <si>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</si>
  <si>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</si>
  <si>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</si>
  <si>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</si>
  <si>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</si>
  <si>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</si>
  <si>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</si>
  <si>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</si>
  <si>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</si>
  <si>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</si>
  <si>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</si>
  <si>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</si>
  <si>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</si>
  <si>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</si>
  <si>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</si>
  <si>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</si>
  <si>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</si>
  <si>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</si>
  <si>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</si>
  <si>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</si>
  <si>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</si>
  <si>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</si>
  <si>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</si>
  <si>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</si>
  <si>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</si>
  <si>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</si>
  <si>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</si>
  <si>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</si>
  <si>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</si>
  <si>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</si>
  <si>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</si>
  <si>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</si>
  <si>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</si>
  <si>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</si>
  <si>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</si>
  <si>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</si>
  <si>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</si>
  <si>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</si>
  <si>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</si>
  <si>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</si>
  <si>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</si>
  <si>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</si>
  <si>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</si>
  <si>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</si>
  <si>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</si>
  <si>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</si>
  <si>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</si>
  <si>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</si>
  <si>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</si>
  <si>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</si>
  <si>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</si>
  <si>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</si>
  <si>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</si>
  <si>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</si>
  <si>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</si>
  <si>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</si>
  <si>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</si>
  <si>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</si>
  <si>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</si>
  <si>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</si>
  <si>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</si>
  <si>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</si>
  <si>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</si>
  <si>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</si>
  <si>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</si>
  <si>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</si>
  <si>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</si>
  <si>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</si>
  <si>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</si>
  <si>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</si>
  <si>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</si>
  <si>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</si>
  <si>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</si>
  <si>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</si>
  <si>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</si>
  <si>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</si>
  <si>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</si>
  <si>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</si>
  <si>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</si>
  <si>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</si>
  <si>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</si>
  <si>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</si>
  <si>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</si>
  <si>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</si>
  <si>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</si>
  <si>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</si>
  <si>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</si>
  <si>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</si>
  <si>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</si>
  <si>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</si>
  <si>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</si>
  <si>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</si>
  <si>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</si>
  <si>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</si>
  <si>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</si>
  <si>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</si>
  <si>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</si>
  <si>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</si>
  <si>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</si>
  <si>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</si>
  <si>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</si>
  <si>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</si>
  <si>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</si>
  <si>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</si>
  <si>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</si>
  <si>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</si>
  <si>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</si>
  <si>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</si>
  <si>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</si>
  <si>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</si>
  <si>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</si>
  <si>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</si>
  <si>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</si>
  <si>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</si>
  <si>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</si>
  <si>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</si>
  <si>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</si>
  <si>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</si>
  <si>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</si>
  <si>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</si>
  <si>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</si>
  <si>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</si>
  <si>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</si>
  <si>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</si>
  <si>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</si>
  <si>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</si>
  <si>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</si>
  <si>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</si>
  <si>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</si>
  <si>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</si>
  <si>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</si>
  <si>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</si>
  <si>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</si>
  <si>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</si>
  <si>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</si>
  <si>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</si>
  <si>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</si>
  <si>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</si>
  <si>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</si>
  <si>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</si>
  <si>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</si>
  <si>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</si>
  <si>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</si>
  <si>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</si>
  <si>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</si>
  <si>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</si>
  <si>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</si>
  <si>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</si>
  <si>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</si>
  <si>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</si>
  <si>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</si>
  <si>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</si>
  <si>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</si>
  <si>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</si>
  <si>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</si>
  <si>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</si>
  <si>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</si>
  <si>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</si>
  <si>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</si>
  <si>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</si>
  <si>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</si>
  <si>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</si>
  <si>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</si>
  <si>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</si>
  <si>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</si>
  <si>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</si>
  <si>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</si>
  <si>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</si>
  <si>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</si>
  <si>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</si>
  <si>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</si>
  <si>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</si>
  <si>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</si>
  <si>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</si>
  <si>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</si>
  <si>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</si>
  <si>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</si>
  <si>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</si>
  <si>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</si>
  <si>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</si>
  <si>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</si>
  <si>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</si>
  <si>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</si>
  <si>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</si>
  <si>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</si>
  <si>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</si>
  <si>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</si>
  <si>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</si>
  <si>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</si>
  <si>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</si>
  <si>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</si>
  <si>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</si>
  <si>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</si>
  <si>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</si>
  <si>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</si>
  <si>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</si>
  <si>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</si>
  <si>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</si>
  <si>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</si>
  <si>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</si>
  <si>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</si>
  <si>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</si>
  <si>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</si>
  <si>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</si>
  <si>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</si>
  <si>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</si>
  <si>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</si>
  <si>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</si>
  <si>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</si>
  <si>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</si>
  <si>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</si>
  <si>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</si>
  <si>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</si>
  <si>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</si>
  <si>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</si>
  <si>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</si>
  <si>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</si>
  <si>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</si>
  <si>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</si>
  <si>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</si>
  <si>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</si>
  <si>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</si>
  <si>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</si>
  <si>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</si>
  <si>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</si>
  <si>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</si>
  <si>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</si>
  <si>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</si>
  <si>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</si>
  <si>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</si>
  <si>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</si>
  <si>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</si>
  <si>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</si>
  <si>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</si>
  <si>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</si>
  <si>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</si>
  <si>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</si>
  <si>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</si>
  <si>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</si>
  <si>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</si>
  <si>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</si>
  <si>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</si>
  <si>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</si>
  <si>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</si>
  <si>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</si>
  <si>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</si>
  <si>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</si>
  <si>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</si>
  <si>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</si>
  <si>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</si>
  <si>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</si>
  <si>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</si>
  <si>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</si>
  <si>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</si>
  <si>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</si>
  <si>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</si>
  <si>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</si>
  <si>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</si>
  <si>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</si>
  <si>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</si>
  <si>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</si>
  <si>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</si>
  <si>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</si>
  <si>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</si>
  <si>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</si>
  <si>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</si>
  <si>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</si>
  <si>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</si>
  <si>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</si>
  <si>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</si>
  <si>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</si>
  <si>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</si>
  <si>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</si>
  <si>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</si>
  <si>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</si>
  <si>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</si>
  <si>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</si>
  <si>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</si>
  <si>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</si>
  <si>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</si>
  <si>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</si>
  <si>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</si>
  <si>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</si>
  <si>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</si>
  <si>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</si>
  <si>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</si>
  <si>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</si>
  <si>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</si>
  <si>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</si>
  <si>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</si>
  <si>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</si>
  <si>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</si>
  <si>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</si>
  <si>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</si>
  <si>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</si>
  <si>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</si>
  <si>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</si>
  <si>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</si>
  <si>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</si>
  <si>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</si>
  <si>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</si>
  <si>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</si>
  <si>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</si>
  <si>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</si>
  <si>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</si>
  <si>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</si>
  <si>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</si>
  <si>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</si>
  <si>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</si>
  <si>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</si>
  <si>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</si>
  <si>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</si>
  <si>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</si>
  <si>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</si>
  <si>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</si>
  <si>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</si>
  <si>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</si>
  <si>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</si>
  <si>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</si>
  <si>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</si>
  <si>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</si>
  <si>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</si>
  <si>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</si>
  <si>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</si>
  <si>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</si>
  <si>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</si>
  <si>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</si>
  <si>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</si>
  <si>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</si>
  <si>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</si>
  <si>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</si>
  <si>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</si>
  <si>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</si>
  <si>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</si>
  <si>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</si>
  <si>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</si>
  <si>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</si>
  <si>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</si>
  <si>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</si>
  <si>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</si>
  <si>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</si>
  <si>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</si>
  <si>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</si>
  <si>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</si>
  <si>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</si>
  <si>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</si>
  <si>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</si>
  <si>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</si>
  <si>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</si>
  <si>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</si>
  <si>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</si>
  <si>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</si>
  <si>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</si>
  <si>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</si>
  <si>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</si>
  <si>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</si>
  <si>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</si>
  <si>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</si>
  <si>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</si>
  <si>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</si>
  <si>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</si>
  <si>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</si>
  <si>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</si>
  <si>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</si>
  <si>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</si>
  <si>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</si>
  <si>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</si>
  <si>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</si>
  <si>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</si>
  <si>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</si>
  <si>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</si>
  <si>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</si>
  <si>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</si>
  <si>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</si>
  <si>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</si>
  <si>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</si>
  <si>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</si>
  <si>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</si>
  <si>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</si>
  <si>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</si>
  <si>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</si>
  <si>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</si>
  <si>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</si>
  <si>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</si>
  <si>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</si>
  <si>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</si>
  <si>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</si>
  <si>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</si>
  <si>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</si>
  <si>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</si>
  <si>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</si>
  <si>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</si>
  <si>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</si>
  <si>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</si>
  <si>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</si>
  <si>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</si>
  <si>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</si>
  <si>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</si>
  <si>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</si>
  <si>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</si>
  <si>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</si>
  <si>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</si>
  <si>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</si>
  <si>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</si>
  <si>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</si>
  <si>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</si>
  <si>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</si>
  <si>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</si>
  <si>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</si>
  <si>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</si>
  <si>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</si>
  <si>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</si>
  <si>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</si>
  <si>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</si>
  <si>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</si>
  <si>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</si>
  <si>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</si>
  <si>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</si>
  <si>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</si>
  <si>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</si>
  <si>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</si>
  <si>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</si>
  <si>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</si>
  <si>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</si>
  <si>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</si>
  <si>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</si>
  <si>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</si>
  <si>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</si>
  <si>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</si>
  <si>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</si>
  <si>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</si>
  <si>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</si>
  <si>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</si>
  <si>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</si>
  <si>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</si>
  <si>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</si>
  <si>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</si>
  <si>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</si>
  <si>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</si>
  <si>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</si>
  <si>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</si>
  <si>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</si>
  <si>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</si>
  <si>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</si>
  <si>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</si>
  <si>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</si>
  <si>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</si>
  <si>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</si>
  <si>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</si>
  <si>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</si>
  <si>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</si>
  <si>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</si>
  <si>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</si>
  <si>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</si>
  <si>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</si>
  <si>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</si>
  <si>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</si>
  <si>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</si>
  <si>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</si>
  <si>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</si>
  <si>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</si>
  <si>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</si>
  <si>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</si>
  <si>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</si>
  <si>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</si>
  <si>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</si>
  <si>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</si>
  <si>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</si>
  <si>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</si>
  <si>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</si>
  <si>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</si>
  <si>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</si>
  <si>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</si>
  <si>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</si>
  <si>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</si>
  <si>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</si>
  <si>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</si>
  <si>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</si>
  <si>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</si>
  <si>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</si>
  <si>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</si>
  <si>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</si>
  <si>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</si>
  <si>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</si>
  <si>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</si>
  <si>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</si>
  <si>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</si>
  <si>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</si>
  <si>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</si>
  <si>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</si>
  <si>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</si>
  <si>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</si>
  <si>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</si>
  <si>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</si>
  <si>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</si>
  <si>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</si>
  <si>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</si>
  <si>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</si>
  <si>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</si>
  <si>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</si>
  <si>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</si>
  <si>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</si>
  <si>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</si>
  <si>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</si>
  <si>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</si>
  <si>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</si>
  <si>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</si>
  <si>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</si>
  <si>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</si>
  <si>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</si>
  <si>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</si>
  <si>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</si>
  <si>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</si>
  <si>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</si>
  <si>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</si>
  <si>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</si>
  <si>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</si>
  <si>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</si>
  <si>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</si>
  <si>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</si>
  <si>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</si>
  <si>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</si>
  <si>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</si>
  <si>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</si>
  <si>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</si>
  <si>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</si>
  <si>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</si>
  <si>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</si>
  <si>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</si>
  <si>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</si>
  <si>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</si>
  <si>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</si>
  <si>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</si>
  <si>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</si>
  <si>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</si>
  <si>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</si>
  <si>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</si>
  <si>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</si>
  <si>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</si>
  <si>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</si>
  <si>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</si>
  <si>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</si>
  <si>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</si>
  <si>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</si>
  <si>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</si>
  <si>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</si>
  <si>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</si>
  <si>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</si>
  <si>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</si>
  <si>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</si>
  <si>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</si>
  <si>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</si>
  <si>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</si>
  <si>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</si>
  <si>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</si>
  <si>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</si>
  <si>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</si>
  <si>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</si>
  <si>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</si>
  <si>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</si>
  <si>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</si>
  <si>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</si>
  <si>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</si>
  <si>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</si>
  <si>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</si>
  <si>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</si>
  <si>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</si>
  <si>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</si>
  <si>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</si>
  <si>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</si>
  <si>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</si>
  <si>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</si>
  <si>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</si>
  <si>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</si>
  <si>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</si>
  <si>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BKD, LLP</t>
  </si>
  <si>
    <t>Heather Powell</t>
  </si>
  <si>
    <t>225 North Water Street, Suite 400</t>
  </si>
  <si>
    <t>Decatur</t>
  </si>
  <si>
    <t>IL</t>
  </si>
  <si>
    <t>217-429-6109</t>
  </si>
  <si>
    <t>217-429-2411</t>
  </si>
  <si>
    <t>066-003844</t>
  </si>
  <si>
    <t>hpowell@bkd.com</t>
  </si>
  <si>
    <t>Macon/Piatt</t>
  </si>
  <si>
    <t>1595 W. Main Street</t>
  </si>
  <si>
    <t>Mt. Zion</t>
  </si>
  <si>
    <t>Mr. Travis Roundcount</t>
  </si>
  <si>
    <t>tr@mtzschools.org</t>
  </si>
  <si>
    <t>217-864-2366</t>
  </si>
  <si>
    <t>217-864-2200</t>
  </si>
  <si>
    <t xml:space="preserve">Question 23 - Adverse opinion is given as the financial statements are not presented in conformity with accounting principles generally accepted in the United States of America.  However, an opinion is issued based on the basis of accounting described in the notes to the financial statements. </t>
  </si>
  <si>
    <r>
      <t xml:space="preserve">The accompanying Schedule of Expenditures of Federal Awards includes the federal grant activity of </t>
    </r>
    <r>
      <rPr>
        <b/>
        <sz val="9"/>
        <rFont val="Calibri"/>
        <family val="2"/>
        <scheme val="minor"/>
      </rPr>
      <t xml:space="preserve">Mt. Zion Schools </t>
    </r>
    <r>
      <rPr>
        <sz val="9"/>
        <rFont val="Calibri"/>
        <family val="2"/>
        <scheme val="minor"/>
      </rPr>
      <t xml:space="preserve">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t>
    </r>
    <r>
      <rPr>
        <sz val="9"/>
        <rFont val="Calibri"/>
        <family val="2"/>
        <scheme val="minor"/>
      </rPr>
      <t>financial statements.</t>
    </r>
  </si>
  <si>
    <t>None</t>
  </si>
  <si>
    <r>
      <t xml:space="preserve">The following amounts were expended in the form of non-cash assistance by Mt. Zion Schools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</si>
  <si>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U.S. Department of Agriculture</t>
  </si>
  <si>
    <t>Passed-through Illinois State Board of Education</t>
  </si>
  <si>
    <t>Commodities</t>
  </si>
  <si>
    <t xml:space="preserve"> School Lunch - Regular</t>
  </si>
  <si>
    <t>Total CFDA 10.555</t>
  </si>
  <si>
    <t>School Breakfast</t>
  </si>
  <si>
    <t>Total CFDA 10.553</t>
  </si>
  <si>
    <t>Total Child Nutrition Cluster</t>
  </si>
  <si>
    <t>Total U.S. Department of Agriculture</t>
  </si>
  <si>
    <t>18-4210-00</t>
  </si>
  <si>
    <t>19-4210-00</t>
  </si>
  <si>
    <t>18-4220-00</t>
  </si>
  <si>
    <t>19-4220-00</t>
  </si>
  <si>
    <t>N/A</t>
  </si>
  <si>
    <t>U.S  Department of Education</t>
  </si>
  <si>
    <t>IASA Title 1, Low Income and Total Title 1 Cluster</t>
  </si>
  <si>
    <t xml:space="preserve"> Total CFDA 84.010A</t>
  </si>
  <si>
    <t>EASA Title II - Teacher Quality</t>
  </si>
  <si>
    <t>Total CFDA 84.367A</t>
  </si>
  <si>
    <t>Title IVA Student Support &amp; Academic Enrich</t>
  </si>
  <si>
    <t>Total CFDA 84.424A</t>
  </si>
  <si>
    <t>Passed-through Macon-Piatt Special Education District</t>
  </si>
  <si>
    <t>Special Education - IDEA Flowthrough</t>
  </si>
  <si>
    <t>Total U.S. Department of Education</t>
  </si>
  <si>
    <t>U.S. Department of Health and Human Services</t>
  </si>
  <si>
    <t>Passed-through Illinois Department of Healthcare and Family Services</t>
  </si>
  <si>
    <t>Medicaid - Administrative Outreach</t>
  </si>
  <si>
    <t>Total Federal Awards</t>
  </si>
  <si>
    <t>84.010A</t>
  </si>
  <si>
    <t>84.367A</t>
  </si>
  <si>
    <t>84.424A</t>
  </si>
  <si>
    <t>84.027A</t>
  </si>
  <si>
    <t>18-4991-00</t>
  </si>
  <si>
    <t>19-4991-00</t>
  </si>
  <si>
    <t>Total Medicaid Cluster</t>
  </si>
  <si>
    <t>18-4300-00</t>
  </si>
  <si>
    <t>19-4300-00</t>
  </si>
  <si>
    <t>18-4932-00</t>
  </si>
  <si>
    <t>19-4932-00</t>
  </si>
  <si>
    <t>18-4400-00</t>
  </si>
  <si>
    <t>18-4620-00</t>
  </si>
  <si>
    <t>Total CFDA 84.027A</t>
  </si>
  <si>
    <t>19-4620-00</t>
  </si>
  <si>
    <t>19-4400-00</t>
  </si>
  <si>
    <t>Working cash/refunding bonds</t>
  </si>
  <si>
    <t>Alternative revenue/building</t>
  </si>
  <si>
    <t>General obligation/building</t>
  </si>
  <si>
    <t>WC/Refunding</t>
  </si>
  <si>
    <t>Building</t>
  </si>
  <si>
    <t>Refunding</t>
  </si>
  <si>
    <t>General obligation refunding school bonds</t>
  </si>
  <si>
    <t>Fiscal Purchased Service - copy machine</t>
  </si>
  <si>
    <t>Watts</t>
  </si>
  <si>
    <t>DMH</t>
  </si>
  <si>
    <t>Advanced Disposal</t>
  </si>
  <si>
    <t>Versa Trans</t>
  </si>
  <si>
    <t>Drug Testing</t>
  </si>
  <si>
    <t>Sanitation</t>
  </si>
  <si>
    <t>Transportation Purchased Service</t>
  </si>
  <si>
    <t>Heartland Technical Academy</t>
  </si>
  <si>
    <t>Transfer Academy at Richland Community College</t>
  </si>
  <si>
    <t>NONE</t>
  </si>
  <si>
    <t>Adverse - GAAP, Unmodified - Regulatory</t>
  </si>
  <si>
    <t>Unmodified</t>
  </si>
  <si>
    <t>Special Education - IDEA</t>
  </si>
  <si>
    <r>
      <t xml:space="preserve">Of the federal expenditures presented in the schedule, </t>
    </r>
    <r>
      <rPr>
        <b/>
        <sz val="9"/>
        <rFont val="Calibri"/>
        <family val="2"/>
        <scheme val="minor"/>
      </rPr>
      <t xml:space="preserve">Mt. Zion Schools </t>
    </r>
    <r>
      <rPr>
        <sz val="9"/>
        <rFont val="Calibri"/>
        <family val="2"/>
        <scheme val="minor"/>
      </rPr>
      <t>provided federal awards to subrecipients as follows:</t>
    </r>
  </si>
  <si>
    <t>10-2520-300</t>
  </si>
  <si>
    <t>10-1130-300</t>
  </si>
  <si>
    <t>20-2540-300</t>
  </si>
  <si>
    <t>40-2550-300</t>
  </si>
  <si>
    <t>Mt Zion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</si>
</sst>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363682</xdr:colOff>
          <xdr:row>3</xdr:row>
          <xdr:rowOff>77932</xdr:rowOff>
        </xdr:from>
        <xdr:to>
          <xdr:col>1</xdr:col>
          <xdr:colOff>1278082</xdr:colOff>
          <xdr:row>7</xdr:row>
          <xdr:rowOff>116032</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2" t="s">
        <v>405</v>
      </c>
      <c r="J1" s="1983"/>
      <c r="K1" s="1983"/>
      <c r="L1" s="1983"/>
      <c r="M1" s="1983"/>
      <c r="N1" s="1983"/>
      <c r="O1" s="1983"/>
      <c r="P1" s="1983"/>
      <c r="Q1" s="1983"/>
      <c r="R1" s="1983"/>
      <c r="S1" s="1983"/>
    </row>
    <row r="2" spans="1:28" ht="12" customHeight="1" x14ac:dyDescent="0.2">
      <c r="A2" s="47" t="s">
        <v>1989</v>
      </c>
      <c r="D2" s="48"/>
      <c r="I2" s="1984" t="s">
        <v>979</v>
      </c>
      <c r="J2" s="1983"/>
      <c r="K2" s="1983"/>
      <c r="L2" s="1983"/>
      <c r="M2" s="1983"/>
      <c r="N2" s="1983"/>
      <c r="O2" s="1983"/>
      <c r="P2" s="1983"/>
      <c r="Q2" s="1983"/>
      <c r="R2" s="1983"/>
      <c r="S2" s="1983"/>
    </row>
    <row r="3" spans="1:28" ht="12" customHeight="1" x14ac:dyDescent="0.2">
      <c r="A3" s="155" t="s">
        <v>1941</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2061</v>
      </c>
      <c r="C5" s="26" t="s">
        <v>910</v>
      </c>
      <c r="D5" s="84"/>
      <c r="E5" s="84"/>
      <c r="H5" s="38"/>
      <c r="I5" s="1992" t="s">
        <v>680</v>
      </c>
      <c r="J5" s="1991"/>
      <c r="K5" s="1991"/>
      <c r="L5" s="1991"/>
      <c r="M5" s="1991"/>
      <c r="N5" s="1991"/>
      <c r="O5" s="1991"/>
      <c r="P5" s="1991"/>
      <c r="Q5" s="1991"/>
      <c r="R5" s="1991"/>
      <c r="S5" s="1991"/>
    </row>
    <row r="6" spans="1:28" ht="14.1" customHeight="1" x14ac:dyDescent="0.2">
      <c r="B6" s="104"/>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2061</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7">
        <v>39055003026</v>
      </c>
      <c r="B13" s="2018"/>
      <c r="C13" s="2018"/>
      <c r="D13" s="2018"/>
      <c r="E13" s="2018"/>
      <c r="F13" s="2018"/>
      <c r="G13" s="2018"/>
      <c r="H13" s="2019"/>
      <c r="I13" s="31"/>
      <c r="J13" s="30"/>
      <c r="K13" s="28"/>
      <c r="L13" s="30"/>
      <c r="M13" s="30"/>
      <c r="N13" s="30"/>
      <c r="O13" s="30"/>
      <c r="P13" s="30"/>
      <c r="Q13" s="30"/>
      <c r="R13" s="30"/>
      <c r="S13" s="30"/>
      <c r="T13" s="2022" t="s">
        <v>2062</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2071</v>
      </c>
      <c r="B15" s="2020"/>
      <c r="C15" s="2020"/>
      <c r="D15" s="2020"/>
      <c r="E15" s="2020"/>
      <c r="F15" s="2020"/>
      <c r="G15" s="2020"/>
      <c r="H15" s="2021"/>
      <c r="T15" s="2026" t="s">
        <v>2063</v>
      </c>
      <c r="U15" s="1970"/>
      <c r="V15" s="1970"/>
      <c r="W15" s="1970"/>
      <c r="X15" s="1970"/>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2152</v>
      </c>
      <c r="B17" s="1977"/>
      <c r="C17" s="1977"/>
      <c r="D17" s="1977"/>
      <c r="E17" s="1977"/>
      <c r="F17" s="1977"/>
      <c r="G17" s="1977"/>
      <c r="H17" s="2002"/>
      <c r="T17" s="2033" t="s">
        <v>2064</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6" t="s">
        <v>2072</v>
      </c>
      <c r="B19" s="1962"/>
      <c r="C19" s="1962"/>
      <c r="D19" s="1962"/>
      <c r="E19" s="1962"/>
      <c r="F19" s="1962"/>
      <c r="G19" s="1962"/>
      <c r="H19" s="1942"/>
      <c r="I19" s="30"/>
      <c r="J19" s="99"/>
      <c r="K19" s="40"/>
      <c r="L19" s="38"/>
      <c r="M19" s="112" t="s">
        <v>315</v>
      </c>
      <c r="P19" s="27"/>
      <c r="Q19" s="27"/>
      <c r="R19" s="27"/>
      <c r="S19" s="31"/>
      <c r="T19" s="2016" t="s">
        <v>2065</v>
      </c>
      <c r="U19" s="1941"/>
      <c r="V19" s="1941"/>
      <c r="W19" s="1942"/>
      <c r="X19" s="2031" t="s">
        <v>2066</v>
      </c>
      <c r="Y19" s="2032"/>
      <c r="Z19" s="2029">
        <v>62523</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2073</v>
      </c>
      <c r="B21" s="1941"/>
      <c r="C21" s="1941"/>
      <c r="D21" s="1941"/>
      <c r="E21" s="1941"/>
      <c r="F21" s="1941"/>
      <c r="G21" s="1941"/>
      <c r="H21" s="1942"/>
      <c r="I21" s="1996" t="s">
        <v>678</v>
      </c>
      <c r="J21" s="1991"/>
      <c r="K21" s="1991"/>
      <c r="L21" s="1991"/>
      <c r="M21" s="1991"/>
      <c r="N21" s="1991"/>
      <c r="O21" s="1991"/>
      <c r="P21" s="1991"/>
      <c r="Q21" s="1991"/>
      <c r="R21" s="1991"/>
      <c r="S21" s="1997"/>
      <c r="T21" s="2040" t="s">
        <v>2068</v>
      </c>
      <c r="U21" s="2041"/>
      <c r="V21" s="2041"/>
      <c r="W21" s="2041"/>
      <c r="X21" s="2046" t="s">
        <v>2067</v>
      </c>
      <c r="Y21" s="2047"/>
      <c r="Z21" s="2047"/>
      <c r="AA21" s="2048"/>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c r="B23" s="1994"/>
      <c r="C23" s="1994"/>
      <c r="D23" s="1994"/>
      <c r="E23" s="1994"/>
      <c r="F23" s="1994"/>
      <c r="G23" s="1994"/>
      <c r="H23" s="1995"/>
      <c r="T23" s="1976" t="s">
        <v>2069</v>
      </c>
      <c r="U23" s="2039"/>
      <c r="V23" s="2039"/>
      <c r="W23" s="2039"/>
      <c r="X23" s="2043">
        <v>44530</v>
      </c>
      <c r="Y23" s="2044"/>
      <c r="Z23" s="2044"/>
      <c r="AA23" s="2045"/>
    </row>
    <row r="24" spans="1:27" ht="14.1" customHeight="1" x14ac:dyDescent="0.2">
      <c r="A24" s="88" t="s">
        <v>677</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40">
        <v>62549</v>
      </c>
      <c r="B25" s="1941"/>
      <c r="C25" s="1941"/>
      <c r="D25" s="1941"/>
      <c r="E25" s="1941"/>
      <c r="F25" s="1941"/>
      <c r="G25" s="1941"/>
      <c r="H25" s="1942"/>
      <c r="I25" s="113"/>
      <c r="J25" s="1965"/>
      <c r="K25" s="1965"/>
      <c r="L25" s="1965"/>
      <c r="M25" s="1965"/>
      <c r="N25" s="1965"/>
      <c r="O25" s="1965"/>
      <c r="P25" s="1965"/>
      <c r="Q25" s="1965"/>
      <c r="R25" s="1965"/>
      <c r="S25" s="1966"/>
      <c r="T25" s="2036" t="s">
        <v>2070</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2074</v>
      </c>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2075</v>
      </c>
      <c r="B40" s="1955"/>
      <c r="C40" s="1956"/>
      <c r="D40" s="1956"/>
      <c r="E40" s="1956"/>
      <c r="F40" s="1957"/>
      <c r="G40" s="1957"/>
      <c r="H40" s="1958"/>
      <c r="I40" s="1979"/>
      <c r="J40" s="1980"/>
      <c r="K40" s="1980"/>
      <c r="L40" s="1980"/>
      <c r="M40" s="1980"/>
      <c r="N40" s="1980"/>
      <c r="O40" s="1980"/>
      <c r="P40" s="1980"/>
      <c r="Q40" s="1980"/>
      <c r="R40" s="1980"/>
      <c r="S40" s="1981"/>
      <c r="T40" s="1979"/>
      <c r="U40" s="2042"/>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t="s">
        <v>2076</v>
      </c>
      <c r="B42" s="1960"/>
      <c r="C42" s="1961"/>
      <c r="D42" s="1959" t="s">
        <v>2077</v>
      </c>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2061</v>
      </c>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2078</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2062</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282965092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2.4299999999999999E-2</v>
      </c>
      <c r="E10" s="356" t="s">
        <v>1005</v>
      </c>
      <c r="F10" s="355">
        <v>5.0000000000000001E-3</v>
      </c>
      <c r="G10" s="356" t="s">
        <v>1005</v>
      </c>
      <c r="H10" s="355">
        <v>2E-3</v>
      </c>
      <c r="I10" s="356" t="s">
        <v>1006</v>
      </c>
      <c r="J10" s="1732">
        <f>ROUND(D10+F10+H10,5)</f>
        <v>3.1300000000000001E-2</v>
      </c>
      <c r="K10" s="222"/>
      <c r="L10" s="355">
        <v>5.0000000000000001E-4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19815457</v>
      </c>
      <c r="E16" s="356"/>
      <c r="F16" s="1733">
        <f>SUM('Acct Summary 7-8'!C17,'Acct Summary 7-8'!D17,'Acct Summary 7-8'!F17)</f>
        <v>19649540</v>
      </c>
      <c r="G16" s="356"/>
      <c r="H16" s="1733">
        <f>SUM(D16-F16)</f>
        <v>165917</v>
      </c>
      <c r="I16" s="222"/>
      <c r="J16" s="1733">
        <f>SUM('Acct Summary 7-8'!C81,'Acct Summary 7-8'!D81,'Acct Summary 7-8'!F81,'Acct Summary 7-8'!I81)</f>
        <v>6100881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39049182.696000002</v>
      </c>
      <c r="I31" s="368"/>
      <c r="J31" s="222"/>
      <c r="K31" s="222"/>
      <c r="L31" s="222"/>
      <c r="M31" s="222"/>
    </row>
    <row r="32" spans="1:13" ht="13.35" customHeight="1" x14ac:dyDescent="0.2">
      <c r="B32" s="369" t="s">
        <v>2061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27425000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A40" sqref="A40:X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Mt Zion CUSD 3</v>
      </c>
      <c r="E7" s="391"/>
      <c r="G7" s="252"/>
      <c r="H7" s="387"/>
      <c r="I7" s="387"/>
      <c r="J7" s="387"/>
      <c r="K7" s="387"/>
      <c r="L7" s="329"/>
      <c r="M7" s="329"/>
      <c r="N7" s="329"/>
      <c r="O7" s="329"/>
      <c r="P7" s="329"/>
    </row>
    <row r="8" spans="1:18" ht="12.75" x14ac:dyDescent="0.2">
      <c r="A8" s="329"/>
      <c r="B8" s="329"/>
      <c r="C8" s="389" t="s">
        <v>1125</v>
      </c>
      <c r="D8" s="392">
        <f>COVER!A13</f>
        <v>39055003026</v>
      </c>
      <c r="E8" s="393"/>
      <c r="G8" s="329"/>
      <c r="H8" s="329"/>
      <c r="I8" s="329"/>
      <c r="J8" s="329"/>
      <c r="K8" s="329"/>
      <c r="L8" s="329"/>
      <c r="M8" s="329"/>
      <c r="N8" s="329"/>
      <c r="O8" s="329"/>
      <c r="P8" s="329"/>
    </row>
    <row r="9" spans="1:18" ht="12.75" x14ac:dyDescent="0.2">
      <c r="A9" s="329"/>
      <c r="B9" s="329"/>
      <c r="C9" s="389" t="s">
        <v>713</v>
      </c>
      <c r="D9" s="394" t="str">
        <f>COVER!A15</f>
        <v>Macon/Piatt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6100881</v>
      </c>
      <c r="I12" s="404"/>
      <c r="J12" s="404"/>
      <c r="K12" s="405">
        <f>TRUNC((H12/H13*100000),5)/100000</f>
        <v>0.30788495059999998</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19815457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19649540</v>
      </c>
      <c r="I17" s="404"/>
      <c r="J17" s="416"/>
      <c r="K17" s="405">
        <f>TRUNC((H17/H18*100000),5)/100000</f>
        <v>0.99162689000000004</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19815457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6131538</v>
      </c>
      <c r="I24" s="422"/>
      <c r="J24" s="422"/>
      <c r="K24" s="423">
        <f>TRUNC(((H24/H25*100000)/100000),2)</f>
        <v>112.33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54582.055560000001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7528286.2726600002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27425000</v>
      </c>
      <c r="I32" s="420"/>
      <c r="J32" s="420"/>
      <c r="K32" s="423">
        <f>TRUNC(100-((((H32/H33*100))*100)/100),2)</f>
        <v>29.76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39049182.696000002</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4" activePane="bottomLeft" state="frozen"/>
      <selection pane="bottomLeft" activeCell="K5" sqref="K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3485919</v>
      </c>
      <c r="D4" s="466">
        <v>842314</v>
      </c>
      <c r="E4" s="466">
        <v>516988</v>
      </c>
      <c r="F4" s="466">
        <v>611863</v>
      </c>
      <c r="G4" s="466">
        <v>359924</v>
      </c>
      <c r="H4" s="466">
        <v>1240947</v>
      </c>
      <c r="I4" s="466">
        <v>1191442</v>
      </c>
      <c r="J4" s="467">
        <v>2179</v>
      </c>
      <c r="K4" s="466">
        <v>852648</v>
      </c>
      <c r="L4" s="466">
        <v>3029381</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3485919</v>
      </c>
      <c r="D13" s="1737">
        <f t="shared" ref="D13:L13" si="0">SUM(D4:D12)</f>
        <v>842314</v>
      </c>
      <c r="E13" s="1737">
        <f t="shared" si="0"/>
        <v>516988</v>
      </c>
      <c r="F13" s="1737">
        <f t="shared" si="0"/>
        <v>611863</v>
      </c>
      <c r="G13" s="1737">
        <f t="shared" si="0"/>
        <v>359924</v>
      </c>
      <c r="H13" s="1737">
        <f t="shared" si="0"/>
        <v>1240947</v>
      </c>
      <c r="I13" s="1737">
        <f t="shared" si="0"/>
        <v>1191442</v>
      </c>
      <c r="J13" s="1737">
        <f t="shared" si="0"/>
        <v>2179</v>
      </c>
      <c r="K13" s="1737">
        <f t="shared" si="0"/>
        <v>852648</v>
      </c>
      <c r="L13" s="1737">
        <f t="shared" si="0"/>
        <v>3029381</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411741</v>
      </c>
      <c r="N16" s="484"/>
    </row>
    <row r="17" spans="1:14" s="485" customFormat="1" ht="12.75" customHeight="1" x14ac:dyDescent="0.2">
      <c r="A17" s="482" t="s">
        <v>1403</v>
      </c>
      <c r="B17" s="483">
        <v>230</v>
      </c>
      <c r="C17" s="477"/>
      <c r="D17" s="477"/>
      <c r="E17" s="477"/>
      <c r="F17" s="477"/>
      <c r="G17" s="477"/>
      <c r="H17" s="477"/>
      <c r="I17" s="477"/>
      <c r="J17" s="477"/>
      <c r="K17" s="477"/>
      <c r="L17" s="477"/>
      <c r="M17" s="467">
        <v>49840152</v>
      </c>
      <c r="N17" s="484"/>
    </row>
    <row r="18" spans="1:14" s="485" customFormat="1" ht="12.75" customHeight="1" x14ac:dyDescent="0.2">
      <c r="A18" s="482" t="s">
        <v>1404</v>
      </c>
      <c r="B18" s="483">
        <v>240</v>
      </c>
      <c r="C18" s="477"/>
      <c r="D18" s="477"/>
      <c r="E18" s="477"/>
      <c r="F18" s="477"/>
      <c r="G18" s="477"/>
      <c r="H18" s="477"/>
      <c r="I18" s="477"/>
      <c r="J18" s="477"/>
      <c r="K18" s="477"/>
      <c r="L18" s="477"/>
      <c r="M18" s="467">
        <v>2427918</v>
      </c>
      <c r="N18" s="484"/>
    </row>
    <row r="19" spans="1:14" s="485" customFormat="1" ht="12.75" customHeight="1" x14ac:dyDescent="0.2">
      <c r="A19" s="482" t="s">
        <v>1405</v>
      </c>
      <c r="B19" s="483">
        <v>250</v>
      </c>
      <c r="C19" s="477"/>
      <c r="D19" s="477"/>
      <c r="E19" s="477"/>
      <c r="F19" s="477"/>
      <c r="G19" s="477"/>
      <c r="H19" s="477"/>
      <c r="I19" s="477"/>
      <c r="J19" s="477"/>
      <c r="K19" s="477"/>
      <c r="L19" s="477"/>
      <c r="M19" s="467">
        <v>6300124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516988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26908012</v>
      </c>
    </row>
    <row r="23" spans="1:14" ht="13.5" customHeight="1" thickBot="1" x14ac:dyDescent="0.25">
      <c r="A23" s="1736" t="s">
        <v>643</v>
      </c>
      <c r="B23" s="1741"/>
      <c r="C23" s="468"/>
      <c r="D23" s="468"/>
      <c r="E23" s="468"/>
      <c r="F23" s="468"/>
      <c r="G23" s="468"/>
      <c r="H23" s="468"/>
      <c r="I23" s="468"/>
      <c r="J23" s="468"/>
      <c r="K23" s="468"/>
      <c r="L23" s="468"/>
      <c r="M23" s="1688">
        <f>SUM(M15:M22)</f>
        <v>58979935</v>
      </c>
      <c r="N23" s="1688">
        <f>SUM(N21:N22)</f>
        <v>27425000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f>28994+1662+1</f>
        <v>30657</v>
      </c>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3029381</v>
      </c>
      <c r="M33" s="468"/>
      <c r="N33" s="469"/>
    </row>
    <row r="34" spans="1:14" ht="13.5" customHeight="1" thickBot="1" x14ac:dyDescent="0.25">
      <c r="A34" s="1738" t="s">
        <v>654</v>
      </c>
      <c r="B34" s="1739"/>
      <c r="C34" s="1740">
        <f>SUM(C25:C33)</f>
        <v>30657</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3029381</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27425000</v>
      </c>
    </row>
    <row r="37" spans="1:14" ht="13.5" thickBot="1" x14ac:dyDescent="0.25">
      <c r="A37" s="1736" t="s">
        <v>653</v>
      </c>
      <c r="B37" s="1741"/>
      <c r="C37" s="477"/>
      <c r="D37" s="477"/>
      <c r="E37" s="477"/>
      <c r="F37" s="477"/>
      <c r="G37" s="477"/>
      <c r="H37" s="477"/>
      <c r="I37" s="477"/>
      <c r="J37" s="477"/>
      <c r="K37" s="477"/>
      <c r="L37" s="480"/>
      <c r="M37" s="468"/>
      <c r="N37" s="1688">
        <f>SUM(N36:N36)</f>
        <v>27425000</v>
      </c>
    </row>
    <row r="38" spans="1:14" s="329" customFormat="1" ht="13.5" customHeight="1" thickTop="1" x14ac:dyDescent="0.2">
      <c r="A38" s="496" t="s">
        <v>420</v>
      </c>
      <c r="B38" s="483">
        <v>714</v>
      </c>
      <c r="C38" s="466"/>
      <c r="D38" s="466"/>
      <c r="E38" s="466"/>
      <c r="F38" s="466"/>
      <c r="G38" s="466">
        <v>111272</v>
      </c>
      <c r="H38" s="466"/>
      <c r="I38" s="466"/>
      <c r="J38" s="467"/>
      <c r="K38" s="466"/>
      <c r="L38" s="481"/>
      <c r="M38" s="497"/>
      <c r="N38" s="497"/>
    </row>
    <row r="39" spans="1:14" s="329" customFormat="1" ht="13.5" customHeight="1" x14ac:dyDescent="0.2">
      <c r="A39" s="496" t="s">
        <v>342</v>
      </c>
      <c r="B39" s="483">
        <v>730</v>
      </c>
      <c r="C39" s="466">
        <f>3456925-1662-1</f>
        <v>3455262</v>
      </c>
      <c r="D39" s="466">
        <v>842314</v>
      </c>
      <c r="E39" s="466">
        <v>516988</v>
      </c>
      <c r="F39" s="466">
        <v>611863</v>
      </c>
      <c r="G39" s="466">
        <f>359924-G38</f>
        <v>248652</v>
      </c>
      <c r="H39" s="466">
        <v>1240947</v>
      </c>
      <c r="I39" s="466">
        <v>1191442</v>
      </c>
      <c r="J39" s="467">
        <v>2179</v>
      </c>
      <c r="K39" s="466">
        <v>852648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58979935</v>
      </c>
      <c r="N40" s="497"/>
    </row>
    <row r="41" spans="1:14" ht="13.5" customHeight="1" thickBot="1" x14ac:dyDescent="0.25">
      <c r="A41" s="1736" t="s">
        <v>655</v>
      </c>
      <c r="B41" s="1706"/>
      <c r="C41" s="1688">
        <f>(SUM(C34,C37,C38,C39))</f>
        <v>3485919</v>
      </c>
      <c r="D41" s="1688">
        <f t="shared" ref="D41:L41" si="2">SUM(D34,D37,D38:D39)</f>
        <v>842314</v>
      </c>
      <c r="E41" s="1688">
        <f t="shared" si="2"/>
        <v>516988</v>
      </c>
      <c r="F41" s="1688">
        <f t="shared" si="2"/>
        <v>611863</v>
      </c>
      <c r="G41" s="1688">
        <f t="shared" si="2"/>
        <v>359924</v>
      </c>
      <c r="H41" s="1688">
        <f t="shared" si="2"/>
        <v>1240947</v>
      </c>
      <c r="I41" s="1688">
        <f t="shared" si="2"/>
        <v>1191442</v>
      </c>
      <c r="J41" s="1688">
        <f t="shared" si="2"/>
        <v>2179</v>
      </c>
      <c r="K41" s="1688">
        <f t="shared" si="2"/>
        <v>852648</v>
      </c>
      <c r="L41" s="1688">
        <f t="shared" si="2"/>
        <v>3029381</v>
      </c>
      <c r="M41" s="1688">
        <f>SUM(M40)</f>
        <v>58979935</v>
      </c>
      <c r="N41" s="1688">
        <f>SUM(N37)</f>
        <v>27425000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48" activePane="bottomLeft" state="frozen"/>
      <selection pane="bottomLeft" activeCell="C12" sqref="C1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8681444</v>
      </c>
      <c r="D4" s="1742">
        <f>'Revenues 9-14'!D109</f>
        <v>1403655</v>
      </c>
      <c r="E4" s="1742">
        <f>'Revenues 9-14'!E109</f>
        <v>1909287</v>
      </c>
      <c r="F4" s="1742">
        <f>'Revenues 9-14'!F109</f>
        <v>569215</v>
      </c>
      <c r="G4" s="1742">
        <f>'Revenues 9-14'!G109</f>
        <v>636428</v>
      </c>
      <c r="H4" s="1742">
        <f>'Revenues 9-14'!H109</f>
        <v>125567</v>
      </c>
      <c r="I4" s="1742">
        <f>'Revenues 9-14'!I109</f>
        <v>149167</v>
      </c>
      <c r="J4" s="1742">
        <f>'Revenues 9-14'!J109</f>
        <v>642762</v>
      </c>
      <c r="K4" s="1742">
        <f>'Revenues 9-14'!K109</f>
        <v>144422</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7460246</v>
      </c>
      <c r="D6" s="1743">
        <f>'Revenues 9-14'!D170</f>
        <v>0</v>
      </c>
      <c r="E6" s="1743">
        <f>'Revenues 9-14'!E170</f>
        <v>0</v>
      </c>
      <c r="F6" s="1743">
        <f>'Revenues 9-14'!F170</f>
        <v>660877</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890853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17032543</v>
      </c>
      <c r="D8" s="1688">
        <f t="shared" ref="D8:K8" si="0">SUM(D4:D7)</f>
        <v>1403655</v>
      </c>
      <c r="E8" s="1688">
        <f t="shared" si="0"/>
        <v>1909287</v>
      </c>
      <c r="F8" s="1688">
        <f t="shared" si="0"/>
        <v>1230092</v>
      </c>
      <c r="G8" s="1688">
        <f t="shared" si="0"/>
        <v>636428</v>
      </c>
      <c r="H8" s="1688">
        <f t="shared" si="0"/>
        <v>125567</v>
      </c>
      <c r="I8" s="1688">
        <f t="shared" si="0"/>
        <v>149167</v>
      </c>
      <c r="J8" s="1688">
        <f t="shared" si="0"/>
        <v>642762</v>
      </c>
      <c r="K8" s="1688">
        <f t="shared" si="0"/>
        <v>144422</v>
      </c>
      <c r="L8" s="347"/>
    </row>
    <row r="9" spans="1:13" ht="15.75" thickTop="1" x14ac:dyDescent="0.2">
      <c r="A9" s="514" t="s">
        <v>1653</v>
      </c>
      <c r="B9" s="515">
        <v>3998</v>
      </c>
      <c r="C9" s="481">
        <v>7640185</v>
      </c>
      <c r="D9" s="516"/>
      <c r="E9" s="481"/>
      <c r="F9" s="481"/>
      <c r="G9" s="517"/>
      <c r="H9" s="481"/>
      <c r="I9" s="509" t="s">
        <v>1169</v>
      </c>
      <c r="J9" s="478"/>
      <c r="K9" s="481"/>
      <c r="L9" s="347"/>
    </row>
    <row r="10" spans="1:13" s="519" customFormat="1" ht="13.5" thickBot="1" x14ac:dyDescent="0.25">
      <c r="A10" s="1736" t="s">
        <v>1173</v>
      </c>
      <c r="B10" s="1709"/>
      <c r="C10" s="1688">
        <f>SUM(C8:C9)</f>
        <v>24672728</v>
      </c>
      <c r="D10" s="1688">
        <f t="shared" ref="D10:K10" si="1">SUM(D8:D9)</f>
        <v>1403655</v>
      </c>
      <c r="E10" s="1688">
        <f t="shared" si="1"/>
        <v>1909287</v>
      </c>
      <c r="F10" s="1688">
        <f t="shared" si="1"/>
        <v>1230092</v>
      </c>
      <c r="G10" s="1688">
        <f t="shared" si="1"/>
        <v>636428</v>
      </c>
      <c r="H10" s="1688">
        <f t="shared" si="1"/>
        <v>125567</v>
      </c>
      <c r="I10" s="1688">
        <f t="shared" si="1"/>
        <v>149167</v>
      </c>
      <c r="J10" s="1688">
        <f t="shared" si="1"/>
        <v>642762</v>
      </c>
      <c r="K10" s="1688">
        <f t="shared" si="1"/>
        <v>144422</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11971923</v>
      </c>
      <c r="D12" s="520" t="s">
        <v>1169</v>
      </c>
      <c r="E12" s="468" t="s">
        <v>1169</v>
      </c>
      <c r="F12" s="468" t="s">
        <v>1169</v>
      </c>
      <c r="G12" s="1742">
        <f>'Expenditures 15-22'!K229</f>
        <v>180807</v>
      </c>
      <c r="H12" s="521"/>
      <c r="I12" s="468" t="s">
        <v>1169</v>
      </c>
      <c r="J12" s="468" t="s">
        <v>1169</v>
      </c>
      <c r="K12" s="521" t="s">
        <v>1169</v>
      </c>
      <c r="L12" s="347"/>
    </row>
    <row r="13" spans="1:13" ht="15.75" customHeight="1" x14ac:dyDescent="0.2">
      <c r="A13" s="1576" t="s">
        <v>457</v>
      </c>
      <c r="B13" s="1578">
        <v>2000</v>
      </c>
      <c r="C13" s="1743">
        <f>'Expenditures 15-22'!K74</f>
        <v>4090495</v>
      </c>
      <c r="D13" s="1743">
        <f>'Expenditures 15-22'!K129</f>
        <v>1401750</v>
      </c>
      <c r="E13" s="469" t="s">
        <v>1169</v>
      </c>
      <c r="F13" s="1743">
        <f>'Expenditures 15-22'!K184</f>
        <v>1218755</v>
      </c>
      <c r="G13" s="1743">
        <f>'Expenditures 15-22'!K279</f>
        <v>431748</v>
      </c>
      <c r="H13" s="1743">
        <f>'Expenditures 15-22'!K303</f>
        <v>362502</v>
      </c>
      <c r="I13" s="468" t="s">
        <v>1169</v>
      </c>
      <c r="J13" s="1743">
        <f>'Expenditures 15-22'!K330</f>
        <v>642763</v>
      </c>
      <c r="K13" s="1747">
        <f>'Expenditures 15-22'!K352</f>
        <v>0</v>
      </c>
      <c r="L13" s="347"/>
    </row>
    <row r="14" spans="1:13" ht="15.75" customHeight="1" x14ac:dyDescent="0.2">
      <c r="A14" s="1576" t="s">
        <v>449</v>
      </c>
      <c r="B14" s="1578">
        <v>3000</v>
      </c>
      <c r="C14" s="1743">
        <f>'Expenditures 15-22'!K75</f>
        <v>171688</v>
      </c>
      <c r="D14" s="1743">
        <f>'Expenditures 15-22'!K130</f>
        <v>0</v>
      </c>
      <c r="E14" s="520" t="s">
        <v>1169</v>
      </c>
      <c r="F14" s="1743">
        <f>'Expenditures 15-22'!K185</f>
        <v>0</v>
      </c>
      <c r="G14" s="1743">
        <f>'Expenditures 15-22'!K280</f>
        <v>19582</v>
      </c>
      <c r="H14" s="512"/>
      <c r="I14" s="468" t="s">
        <v>1169</v>
      </c>
      <c r="J14" s="468" t="s">
        <v>1169</v>
      </c>
      <c r="K14" s="512" t="s">
        <v>1169</v>
      </c>
      <c r="L14" s="347"/>
    </row>
    <row r="15" spans="1:13" ht="15.75" customHeight="1" x14ac:dyDescent="0.2">
      <c r="A15" s="1576" t="s">
        <v>107</v>
      </c>
      <c r="B15" s="1578">
        <v>4000</v>
      </c>
      <c r="C15" s="1743">
        <f>'Expenditures 15-22'!K102</f>
        <v>794929</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1909249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17029035</v>
      </c>
      <c r="D17" s="1688">
        <f t="shared" si="2"/>
        <v>1401750</v>
      </c>
      <c r="E17" s="1688">
        <f t="shared" si="2"/>
        <v>1909249</v>
      </c>
      <c r="F17" s="1688">
        <f t="shared" si="2"/>
        <v>1218755</v>
      </c>
      <c r="G17" s="1688">
        <f t="shared" si="2"/>
        <v>632137</v>
      </c>
      <c r="H17" s="1688">
        <f t="shared" si="2"/>
        <v>362502</v>
      </c>
      <c r="I17" s="468"/>
      <c r="J17" s="1688">
        <f>SUM(J12:J16)</f>
        <v>642763</v>
      </c>
      <c r="K17" s="1688">
        <f>SUM(K12:K16)</f>
        <v>0</v>
      </c>
      <c r="L17" s="347"/>
    </row>
    <row r="18" spans="1:12" ht="15" customHeight="1" thickTop="1" x14ac:dyDescent="0.2">
      <c r="A18" s="1744" t="s">
        <v>1654</v>
      </c>
      <c r="B18" s="1745">
        <v>4180</v>
      </c>
      <c r="C18" s="1742">
        <f t="shared" ref="C18:H18" si="3">C9</f>
        <v>7640185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24669220</v>
      </c>
      <c r="D19" s="1688">
        <f t="shared" si="4"/>
        <v>1401750</v>
      </c>
      <c r="E19" s="1688">
        <f t="shared" si="4"/>
        <v>1909249</v>
      </c>
      <c r="F19" s="1688">
        <f t="shared" si="4"/>
        <v>1218755</v>
      </c>
      <c r="G19" s="1688">
        <f t="shared" si="4"/>
        <v>632137</v>
      </c>
      <c r="H19" s="1688">
        <f t="shared" si="4"/>
        <v>362502</v>
      </c>
      <c r="I19" s="468"/>
      <c r="J19" s="1688">
        <f>SUM(J17:J18)</f>
        <v>642763</v>
      </c>
      <c r="K19" s="1688">
        <f>SUM(K17:K18)</f>
        <v>0</v>
      </c>
      <c r="L19" s="347"/>
    </row>
    <row r="20" spans="1:12" ht="16.5" thickTop="1" thickBot="1" x14ac:dyDescent="0.25">
      <c r="A20" s="2125" t="s">
        <v>1655</v>
      </c>
      <c r="B20" s="2126"/>
      <c r="C20" s="1746">
        <f>C8-C17</f>
        <v>3508</v>
      </c>
      <c r="D20" s="1746">
        <f t="shared" ref="D20:K20" si="5">D8-D17</f>
        <v>1905</v>
      </c>
      <c r="E20" s="1746">
        <f t="shared" si="5"/>
        <v>38</v>
      </c>
      <c r="F20" s="1746">
        <f t="shared" si="5"/>
        <v>11337</v>
      </c>
      <c r="G20" s="1746">
        <f t="shared" si="5"/>
        <v>4291</v>
      </c>
      <c r="H20" s="1746">
        <f t="shared" si="5"/>
        <v>-236935</v>
      </c>
      <c r="I20" s="1746">
        <f t="shared" si="5"/>
        <v>149167</v>
      </c>
      <c r="J20" s="1746">
        <f t="shared" si="5"/>
        <v>-1</v>
      </c>
      <c r="K20" s="1746">
        <f t="shared" si="5"/>
        <v>144422</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7" t="s">
        <v>1177</v>
      </c>
      <c r="B77" s="2118"/>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1" t="s">
        <v>597</v>
      </c>
      <c r="B78" s="2122"/>
      <c r="C78" s="1702">
        <f t="shared" ref="C78:K78" si="9">C20+C77</f>
        <v>3508</v>
      </c>
      <c r="D78" s="1702">
        <f t="shared" si="9"/>
        <v>1905</v>
      </c>
      <c r="E78" s="1702">
        <f t="shared" si="9"/>
        <v>38</v>
      </c>
      <c r="F78" s="1702">
        <f t="shared" si="9"/>
        <v>11337</v>
      </c>
      <c r="G78" s="1702">
        <f t="shared" si="9"/>
        <v>4291</v>
      </c>
      <c r="H78" s="1702">
        <f t="shared" si="9"/>
        <v>-236935</v>
      </c>
      <c r="I78" s="1702">
        <f t="shared" si="9"/>
        <v>149167</v>
      </c>
      <c r="J78" s="1702">
        <f t="shared" si="9"/>
        <v>-1</v>
      </c>
      <c r="K78" s="1702">
        <f t="shared" si="9"/>
        <v>144422</v>
      </c>
      <c r="L78" s="533"/>
    </row>
    <row r="79" spans="1:12" ht="13.5" thickTop="1" x14ac:dyDescent="0.2">
      <c r="A79" s="1494" t="s">
        <v>1945</v>
      </c>
      <c r="B79" s="534"/>
      <c r="C79" s="478">
        <v>3451754</v>
      </c>
      <c r="D79" s="535">
        <v>840409</v>
      </c>
      <c r="E79" s="535">
        <v>516950</v>
      </c>
      <c r="F79" s="535">
        <v>600526</v>
      </c>
      <c r="G79" s="535">
        <v>355633</v>
      </c>
      <c r="H79" s="535">
        <v>1477882</v>
      </c>
      <c r="I79" s="535">
        <v>1042275</v>
      </c>
      <c r="J79" s="535">
        <v>2180</v>
      </c>
      <c r="K79" s="535">
        <v>708226</v>
      </c>
      <c r="L79" s="347"/>
    </row>
    <row r="80" spans="1:12" x14ac:dyDescent="0.2">
      <c r="A80" s="2127" t="s">
        <v>1792</v>
      </c>
      <c r="B80" s="2128"/>
      <c r="C80" s="467"/>
      <c r="D80" s="467"/>
      <c r="E80" s="467"/>
      <c r="F80" s="467"/>
      <c r="G80" s="467"/>
      <c r="H80" s="467"/>
      <c r="I80" s="467"/>
      <c r="J80" s="467"/>
      <c r="K80" s="467"/>
      <c r="L80" s="347"/>
    </row>
    <row r="81" spans="1:12" ht="13.5" thickBot="1" x14ac:dyDescent="0.25">
      <c r="A81" s="2119" t="s">
        <v>1946</v>
      </c>
      <c r="B81" s="2120"/>
      <c r="C81" s="1688">
        <f>(SUM(C78:C80))</f>
        <v>3455262</v>
      </c>
      <c r="D81" s="1688">
        <f>SUM(D78:D80)</f>
        <v>842314</v>
      </c>
      <c r="E81" s="1688">
        <f t="shared" ref="E81:K81" si="10">SUM(E78:E80)</f>
        <v>516988</v>
      </c>
      <c r="F81" s="1688">
        <f t="shared" si="10"/>
        <v>611863</v>
      </c>
      <c r="G81" s="1688">
        <f t="shared" si="10"/>
        <v>359924</v>
      </c>
      <c r="H81" s="1688">
        <f t="shared" si="10"/>
        <v>1240947</v>
      </c>
      <c r="I81" s="1688">
        <f t="shared" si="10"/>
        <v>1191442</v>
      </c>
      <c r="J81" s="1688">
        <f t="shared" si="10"/>
        <v>2179</v>
      </c>
      <c r="K81" s="1688">
        <f t="shared" si="10"/>
        <v>852648</v>
      </c>
      <c r="L81" s="347"/>
    </row>
    <row r="82" spans="1:12" ht="0.75" customHeight="1" thickTop="1" thickBot="1" x14ac:dyDescent="0.25">
      <c r="A82" s="536" t="s">
        <v>343</v>
      </c>
      <c r="B82" s="537"/>
      <c r="C82" s="538">
        <f>(C81-C79)</f>
        <v>3508</v>
      </c>
      <c r="D82" s="538">
        <f t="shared" ref="D82:K82" si="11">(D81-D79)</f>
        <v>1905</v>
      </c>
      <c r="E82" s="538">
        <f t="shared" si="11"/>
        <v>38</v>
      </c>
      <c r="F82" s="538">
        <f t="shared" si="11"/>
        <v>11337</v>
      </c>
      <c r="G82" s="538">
        <f t="shared" si="11"/>
        <v>4291</v>
      </c>
      <c r="H82" s="538">
        <f t="shared" si="11"/>
        <v>-236935</v>
      </c>
      <c r="I82" s="538">
        <f t="shared" si="11"/>
        <v>149167</v>
      </c>
      <c r="J82" s="538">
        <f t="shared" si="11"/>
        <v>-1</v>
      </c>
      <c r="K82" s="538">
        <f t="shared" si="11"/>
        <v>144422</v>
      </c>
    </row>
    <row r="83" spans="1:12" ht="14.25" hidden="1" thickTop="1" thickBot="1" x14ac:dyDescent="0.25">
      <c r="A83" s="539" t="s">
        <v>344</v>
      </c>
      <c r="B83" s="464"/>
      <c r="C83" s="540">
        <f>C82/C81</f>
        <v>1.0152630972701925E-3</v>
      </c>
      <c r="D83" s="540">
        <f t="shared" ref="D83:K83" si="12">D82/D81</f>
        <v>2.2616268992323527E-3</v>
      </c>
      <c r="E83" s="540">
        <f t="shared" si="12"/>
        <v>7.3502673176166559E-5</v>
      </c>
      <c r="F83" s="540">
        <f t="shared" si="12"/>
        <v>1.8528657558963362E-2</v>
      </c>
      <c r="G83" s="540">
        <f t="shared" si="12"/>
        <v>1.1921961302941732E-2</v>
      </c>
      <c r="H83" s="540">
        <f t="shared" si="12"/>
        <v>-0.19093079720568243</v>
      </c>
      <c r="I83" s="540">
        <f t="shared" si="12"/>
        <v>0.12519870879153161</v>
      </c>
      <c r="J83" s="540">
        <f t="shared" si="12"/>
        <v>-4.5892611289582378E-4</v>
      </c>
      <c r="K83" s="540">
        <f t="shared" si="12"/>
        <v>0.16938056501627871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B1" colorId="8" zoomScale="110" zoomScaleNormal="110" zoomScaleSheetLayoutView="75" workbookViewId="0">
      <pane ySplit="2" topLeftCell="A3" activePane="bottomLeft" state="frozen"/>
      <selection pane="bottomLeft" activeCell="F5" sqref="F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1799</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6686895</v>
      </c>
      <c r="D5" s="481">
        <v>1375873</v>
      </c>
      <c r="E5" s="466">
        <v>530015</v>
      </c>
      <c r="F5" s="548">
        <v>550349</v>
      </c>
      <c r="G5" s="466">
        <v>308527</v>
      </c>
      <c r="H5" s="466"/>
      <c r="I5" s="466">
        <v>137586</v>
      </c>
      <c r="J5" s="467">
        <v>641955</v>
      </c>
      <c r="K5" s="466">
        <v>137586</v>
      </c>
    </row>
    <row r="6" spans="1:12" ht="15" x14ac:dyDescent="0.2">
      <c r="A6" s="463" t="s">
        <v>1662</v>
      </c>
      <c r="B6" s="470">
        <v>1130</v>
      </c>
      <c r="C6" s="466">
        <v>137586</v>
      </c>
      <c r="D6" s="466"/>
      <c r="E6" s="475"/>
      <c r="F6" s="475"/>
      <c r="G6" s="468"/>
      <c r="H6" s="468"/>
      <c r="I6" s="468"/>
      <c r="J6" s="468"/>
      <c r="K6" s="468"/>
    </row>
    <row r="7" spans="1:12" x14ac:dyDescent="0.2">
      <c r="A7" s="463" t="s">
        <v>110</v>
      </c>
      <c r="B7" s="549">
        <v>1140</v>
      </c>
      <c r="C7" s="466">
        <v>110070</v>
      </c>
      <c r="D7" s="466"/>
      <c r="E7" s="468"/>
      <c r="F7" s="467"/>
      <c r="G7" s="467"/>
      <c r="H7" s="467"/>
      <c r="I7" s="468"/>
      <c r="J7" s="468"/>
      <c r="K7" s="468"/>
    </row>
    <row r="8" spans="1:12" x14ac:dyDescent="0.2">
      <c r="A8" s="463" t="s">
        <v>413</v>
      </c>
      <c r="B8" s="470">
        <v>1150</v>
      </c>
      <c r="C8" s="475"/>
      <c r="D8" s="475"/>
      <c r="E8" s="477"/>
      <c r="F8" s="477"/>
      <c r="G8" s="481">
        <v>308526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6934551</v>
      </c>
      <c r="D12" s="1707">
        <f t="shared" si="0"/>
        <v>1375873</v>
      </c>
      <c r="E12" s="1707">
        <f t="shared" si="0"/>
        <v>530015</v>
      </c>
      <c r="F12" s="1707">
        <f t="shared" si="0"/>
        <v>550349</v>
      </c>
      <c r="G12" s="1707">
        <f t="shared" si="0"/>
        <v>617053</v>
      </c>
      <c r="H12" s="1707">
        <f t="shared" si="0"/>
        <v>0</v>
      </c>
      <c r="I12" s="1707">
        <f t="shared" si="0"/>
        <v>137586</v>
      </c>
      <c r="J12" s="1707">
        <f t="shared" si="0"/>
        <v>641955</v>
      </c>
      <c r="K12" s="1688">
        <f t="shared" si="0"/>
        <v>137586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339</v>
      </c>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213936</v>
      </c>
      <c r="D16" s="466"/>
      <c r="E16" s="466"/>
      <c r="F16" s="466"/>
      <c r="G16" s="466">
        <v>15000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214275</v>
      </c>
      <c r="D18" s="1710">
        <f t="shared" ref="D18:K18" si="1">SUM(D14:D17)</f>
        <v>0</v>
      </c>
      <c r="E18" s="1710">
        <f t="shared" si="1"/>
        <v>0</v>
      </c>
      <c r="F18" s="1710">
        <f t="shared" si="1"/>
        <v>0</v>
      </c>
      <c r="G18" s="1710">
        <f t="shared" si="1"/>
        <v>15000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35972</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v>266990</v>
      </c>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8555</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v>29466</v>
      </c>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340983</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612</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10175</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10787</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57930</v>
      </c>
      <c r="D65" s="466">
        <v>10648</v>
      </c>
      <c r="E65" s="466">
        <v>1352</v>
      </c>
      <c r="F65" s="467">
        <v>5903</v>
      </c>
      <c r="G65" s="466">
        <v>4375</v>
      </c>
      <c r="H65" s="466">
        <v>15007</v>
      </c>
      <c r="I65" s="466">
        <v>11581</v>
      </c>
      <c r="J65" s="467">
        <v>807</v>
      </c>
      <c r="K65" s="466">
        <v>6836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57930</v>
      </c>
      <c r="D67" s="1688">
        <f t="shared" ref="D67:K67" si="2">SUM(D65:D66)</f>
        <v>10648</v>
      </c>
      <c r="E67" s="1688">
        <f t="shared" si="2"/>
        <v>1352</v>
      </c>
      <c r="F67" s="1688">
        <f t="shared" si="2"/>
        <v>5903</v>
      </c>
      <c r="G67" s="1688">
        <f t="shared" si="2"/>
        <v>4375</v>
      </c>
      <c r="H67" s="1688">
        <f t="shared" si="2"/>
        <v>15007</v>
      </c>
      <c r="I67" s="1688">
        <f t="shared" si="2"/>
        <v>11581</v>
      </c>
      <c r="J67" s="1688">
        <f t="shared" si="2"/>
        <v>807</v>
      </c>
      <c r="K67" s="1688">
        <f t="shared" si="2"/>
        <v>6836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f>321600-1662+42</f>
        <v>319980</v>
      </c>
      <c r="D69" s="468"/>
      <c r="E69" s="468"/>
      <c r="F69" s="468"/>
      <c r="G69" s="468"/>
      <c r="H69" s="468"/>
      <c r="I69" s="468"/>
      <c r="J69" s="468"/>
      <c r="K69" s="468"/>
    </row>
    <row r="70" spans="1:11" ht="12.75" customHeight="1" x14ac:dyDescent="0.2">
      <c r="A70" s="463" t="s">
        <v>997</v>
      </c>
      <c r="B70" s="470">
        <v>1612</v>
      </c>
      <c r="C70" s="551">
        <v>12882</v>
      </c>
      <c r="D70" s="468"/>
      <c r="E70" s="468"/>
      <c r="F70" s="468"/>
      <c r="G70" s="468"/>
      <c r="H70" s="468"/>
      <c r="I70" s="468"/>
      <c r="J70" s="468"/>
      <c r="K70" s="468"/>
    </row>
    <row r="71" spans="1:11" ht="12.75" customHeight="1" x14ac:dyDescent="0.2">
      <c r="A71" s="463" t="s">
        <v>273</v>
      </c>
      <c r="B71" s="470">
        <v>1613</v>
      </c>
      <c r="C71" s="551">
        <v>361814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f>14004-42</f>
        <v>13962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708638</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38113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66899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105012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187100</v>
      </c>
      <c r="D84" s="468"/>
      <c r="E84" s="468"/>
      <c r="F84" s="468"/>
      <c r="G84" s="468"/>
      <c r="H84" s="468"/>
      <c r="I84" s="468"/>
      <c r="J84" s="468"/>
      <c r="K84" s="468"/>
    </row>
    <row r="85" spans="1:11" ht="12.75" customHeight="1" x14ac:dyDescent="0.2">
      <c r="A85" s="463" t="s">
        <v>553</v>
      </c>
      <c r="B85" s="470">
        <v>1812</v>
      </c>
      <c r="C85" s="551">
        <v>275</v>
      </c>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187375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23783</v>
      </c>
      <c r="D95" s="551"/>
      <c r="E95" s="521"/>
      <c r="F95" s="521"/>
      <c r="G95" s="521"/>
      <c r="H95" s="521"/>
      <c r="I95" s="521"/>
      <c r="J95" s="521"/>
      <c r="K95" s="521"/>
    </row>
    <row r="96" spans="1:11" ht="12.75" customHeight="1" x14ac:dyDescent="0.2">
      <c r="A96" s="463" t="s">
        <v>391</v>
      </c>
      <c r="B96" s="470">
        <v>1920</v>
      </c>
      <c r="C96" s="551">
        <v>61543</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v>33077</v>
      </c>
      <c r="D100" s="489"/>
      <c r="E100" s="489"/>
      <c r="F100" s="489"/>
      <c r="G100" s="489"/>
      <c r="H100" s="489"/>
      <c r="I100" s="467"/>
      <c r="J100" s="489"/>
      <c r="K100" s="467"/>
    </row>
    <row r="101" spans="1:12" ht="12.75" customHeight="1" x14ac:dyDescent="0.2">
      <c r="A101" s="463" t="s">
        <v>246</v>
      </c>
      <c r="B101" s="470">
        <v>1970</v>
      </c>
      <c r="C101" s="489">
        <v>5514</v>
      </c>
      <c r="D101" s="526"/>
      <c r="E101" s="480"/>
      <c r="F101" s="526"/>
      <c r="G101" s="475"/>
      <c r="H101" s="526"/>
      <c r="I101" s="468"/>
      <c r="J101" s="475"/>
      <c r="K101" s="475"/>
    </row>
    <row r="102" spans="1:12" ht="12.75" customHeight="1" x14ac:dyDescent="0.2">
      <c r="A102" s="463" t="s">
        <v>247</v>
      </c>
      <c r="B102" s="470">
        <v>1980</v>
      </c>
      <c r="C102" s="489">
        <v>386</v>
      </c>
      <c r="D102" s="489">
        <v>17132</v>
      </c>
      <c r="E102" s="489"/>
      <c r="F102" s="489"/>
      <c r="G102" s="489"/>
      <c r="H102" s="489"/>
      <c r="I102" s="467"/>
      <c r="J102" s="489"/>
      <c r="K102" s="467"/>
    </row>
    <row r="103" spans="1:12" ht="12.75" customHeight="1" x14ac:dyDescent="0.2">
      <c r="A103" s="463" t="s">
        <v>345</v>
      </c>
      <c r="B103" s="470">
        <v>1983</v>
      </c>
      <c r="C103" s="468"/>
      <c r="D103" s="468"/>
      <c r="E103" s="560">
        <v>1377920</v>
      </c>
      <c r="F103" s="468"/>
      <c r="G103" s="468"/>
      <c r="H103" s="489">
        <v>71869</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8377</v>
      </c>
      <c r="D107" s="466">
        <v>2</v>
      </c>
      <c r="E107" s="466"/>
      <c r="F107" s="466">
        <v>2176</v>
      </c>
      <c r="G107" s="466"/>
      <c r="H107" s="466">
        <v>38691</v>
      </c>
      <c r="I107" s="466"/>
      <c r="J107" s="467"/>
      <c r="K107" s="466"/>
    </row>
    <row r="108" spans="1:12" ht="12.75" customHeight="1" thickBot="1" x14ac:dyDescent="0.25">
      <c r="A108" s="1708" t="s">
        <v>487</v>
      </c>
      <c r="B108" s="1712"/>
      <c r="C108" s="1707">
        <f>SUM(C95:C107)</f>
        <v>132680</v>
      </c>
      <c r="D108" s="1707">
        <f t="shared" ref="D108:K108" si="3">SUM(D95:D107)</f>
        <v>17134</v>
      </c>
      <c r="E108" s="1707">
        <f t="shared" si="3"/>
        <v>1377920</v>
      </c>
      <c r="F108" s="1707">
        <f t="shared" si="3"/>
        <v>2176</v>
      </c>
      <c r="G108" s="1707">
        <f t="shared" si="3"/>
        <v>0</v>
      </c>
      <c r="H108" s="1707">
        <f t="shared" si="3"/>
        <v>110560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8681444</v>
      </c>
      <c r="D109" s="1715">
        <f t="shared" si="4"/>
        <v>1403655</v>
      </c>
      <c r="E109" s="1715">
        <f t="shared" si="4"/>
        <v>1909287</v>
      </c>
      <c r="F109" s="1715">
        <f t="shared" si="4"/>
        <v>569215</v>
      </c>
      <c r="G109" s="1715">
        <f t="shared" si="4"/>
        <v>636428</v>
      </c>
      <c r="H109" s="1715">
        <f t="shared" si="4"/>
        <v>125567</v>
      </c>
      <c r="I109" s="1715">
        <f t="shared" si="4"/>
        <v>149167</v>
      </c>
      <c r="J109" s="1715">
        <f t="shared" si="4"/>
        <v>642762</v>
      </c>
      <c r="K109" s="1702">
        <f t="shared" si="4"/>
        <v>144422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7313797</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7313797</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952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952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5507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16537</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22044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1877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38687</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487675</v>
      </c>
      <c r="G152" s="467"/>
      <c r="H152" s="468"/>
      <c r="I152" s="468"/>
      <c r="J152" s="468"/>
      <c r="K152" s="468"/>
    </row>
    <row r="153" spans="1:11" ht="12.75" customHeight="1" x14ac:dyDescent="0.2">
      <c r="A153" s="463" t="s">
        <v>1057</v>
      </c>
      <c r="B153" s="562">
        <v>3510</v>
      </c>
      <c r="C153" s="551"/>
      <c r="D153" s="466"/>
      <c r="E153" s="561"/>
      <c r="F153" s="466">
        <v>173202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660877</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78000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4889</v>
      </c>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146449</v>
      </c>
      <c r="D169" s="1722">
        <f t="shared" si="6"/>
        <v>0</v>
      </c>
      <c r="E169" s="1722">
        <f t="shared" si="6"/>
        <v>0</v>
      </c>
      <c r="F169" s="1722">
        <f t="shared" si="6"/>
        <v>660877</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7460246</v>
      </c>
      <c r="D170" s="1715">
        <f t="shared" si="7"/>
        <v>0</v>
      </c>
      <c r="E170" s="1715">
        <f t="shared" si="7"/>
        <v>0</v>
      </c>
      <c r="F170" s="1715">
        <f t="shared" si="7"/>
        <v>660877</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1800</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225643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19195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244838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159950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159950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23878</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23878</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395029</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395029</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52895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14263</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890853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890853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17032543</v>
      </c>
      <c r="D268" s="1715">
        <f t="shared" si="12"/>
        <v>1403655</v>
      </c>
      <c r="E268" s="1715">
        <f t="shared" si="12"/>
        <v>1909287</v>
      </c>
      <c r="F268" s="1715">
        <f t="shared" si="12"/>
        <v>1230092</v>
      </c>
      <c r="G268" s="1715">
        <f t="shared" si="12"/>
        <v>636428</v>
      </c>
      <c r="H268" s="1715">
        <f t="shared" si="12"/>
        <v>125567</v>
      </c>
      <c r="I268" s="1715">
        <f t="shared" si="12"/>
        <v>149167</v>
      </c>
      <c r="J268" s="1715">
        <f t="shared" si="12"/>
        <v>642762</v>
      </c>
      <c r="K268" s="1702">
        <f t="shared" si="12"/>
        <v>144422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3949083+1078364+2186064+176256+1+1</f>
        <v>7389769</v>
      </c>
      <c r="D5" s="466">
        <f>945434+288359+29696+532676</f>
        <v>1796165</v>
      </c>
      <c r="E5" s="466">
        <f>579+2417+207315+8447</f>
        <v>218758</v>
      </c>
      <c r="F5" s="466">
        <f>188392+78935+55699+93046</f>
        <v>416072</v>
      </c>
      <c r="G5" s="466">
        <f>100296+2398</f>
        <v>102694</v>
      </c>
      <c r="H5" s="466">
        <v>119</v>
      </c>
      <c r="I5" s="467"/>
      <c r="J5" s="467"/>
      <c r="K5" s="1671">
        <f>SUM(C5:J5)</f>
        <v>9923577</v>
      </c>
      <c r="L5" s="466">
        <v>9976310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67074</v>
      </c>
      <c r="D7" s="467">
        <v>23255</v>
      </c>
      <c r="E7" s="467">
        <v>35</v>
      </c>
      <c r="F7" s="467">
        <v>908</v>
      </c>
      <c r="G7" s="467"/>
      <c r="H7" s="467"/>
      <c r="I7" s="467"/>
      <c r="J7" s="467"/>
      <c r="K7" s="1671">
        <f t="shared" ref="K7:K32" si="0">SUM(C7:J7)</f>
        <v>91272</v>
      </c>
      <c r="L7" s="466">
        <v>72960</v>
      </c>
    </row>
    <row r="8" spans="1:14" x14ac:dyDescent="0.2">
      <c r="A8" s="1504" t="s">
        <v>164</v>
      </c>
      <c r="B8" s="614">
        <v>1200</v>
      </c>
      <c r="C8" s="466">
        <v>1080746</v>
      </c>
      <c r="D8" s="466">
        <v>213968</v>
      </c>
      <c r="E8" s="466">
        <v>200</v>
      </c>
      <c r="F8" s="466"/>
      <c r="G8" s="466"/>
      <c r="H8" s="466"/>
      <c r="I8" s="467"/>
      <c r="J8" s="467"/>
      <c r="K8" s="1671">
        <f t="shared" si="0"/>
        <v>1294914</v>
      </c>
      <c r="L8" s="466">
        <v>1285600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151238</v>
      </c>
      <c r="D10" s="466">
        <v>49578</v>
      </c>
      <c r="E10" s="466"/>
      <c r="F10" s="466"/>
      <c r="G10" s="466"/>
      <c r="H10" s="466"/>
      <c r="I10" s="467"/>
      <c r="J10" s="467"/>
      <c r="K10" s="1671">
        <f t="shared" si="0"/>
        <v>200816</v>
      </c>
      <c r="L10" s="466">
        <v>208100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220124</v>
      </c>
      <c r="D14" s="466">
        <v>16571</v>
      </c>
      <c r="E14" s="466">
        <v>68507</v>
      </c>
      <c r="F14" s="466">
        <v>31474</v>
      </c>
      <c r="G14" s="466"/>
      <c r="H14" s="466"/>
      <c r="I14" s="467"/>
      <c r="J14" s="467"/>
      <c r="K14" s="1671">
        <f t="shared" si="0"/>
        <v>336676</v>
      </c>
      <c r="L14" s="466">
        <v>310950</v>
      </c>
    </row>
    <row r="15" spans="1:14" x14ac:dyDescent="0.2">
      <c r="A15" s="1504" t="s">
        <v>964</v>
      </c>
      <c r="B15" s="614">
        <v>1600</v>
      </c>
      <c r="C15" s="466">
        <v>6653</v>
      </c>
      <c r="D15" s="466">
        <v>768</v>
      </c>
      <c r="E15" s="466"/>
      <c r="F15" s="466"/>
      <c r="G15" s="466"/>
      <c r="H15" s="466"/>
      <c r="I15" s="467"/>
      <c r="J15" s="467"/>
      <c r="K15" s="1671">
        <f t="shared" si="0"/>
        <v>7421</v>
      </c>
      <c r="L15" s="466">
        <v>10250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82432</v>
      </c>
      <c r="D17" s="467">
        <v>16588</v>
      </c>
      <c r="E17" s="467"/>
      <c r="F17" s="467">
        <v>50</v>
      </c>
      <c r="G17" s="467"/>
      <c r="H17" s="467"/>
      <c r="I17" s="467"/>
      <c r="J17" s="467"/>
      <c r="K17" s="1671">
        <f t="shared" si="0"/>
        <v>99070</v>
      </c>
      <c r="L17" s="466">
        <v>91500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v>16151</v>
      </c>
      <c r="D19" s="466">
        <v>2026</v>
      </c>
      <c r="E19" s="466"/>
      <c r="F19" s="466"/>
      <c r="G19" s="466"/>
      <c r="H19" s="466"/>
      <c r="I19" s="467"/>
      <c r="J19" s="467"/>
      <c r="K19" s="1671">
        <f t="shared" si="0"/>
        <v>18177</v>
      </c>
      <c r="L19" s="466">
        <v>9310</v>
      </c>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9014187</v>
      </c>
      <c r="D33" s="1670">
        <f t="shared" ref="D33:L33" si="1">SUM(D5:D32)</f>
        <v>2118919</v>
      </c>
      <c r="E33" s="1670">
        <f t="shared" si="1"/>
        <v>287500</v>
      </c>
      <c r="F33" s="1670">
        <f t="shared" si="1"/>
        <v>448504</v>
      </c>
      <c r="G33" s="1670">
        <f t="shared" si="1"/>
        <v>102694</v>
      </c>
      <c r="H33" s="1670">
        <f t="shared" si="1"/>
        <v>119</v>
      </c>
      <c r="I33" s="1670">
        <f t="shared" si="1"/>
        <v>0</v>
      </c>
      <c r="J33" s="1670">
        <f t="shared" si="1"/>
        <v>0</v>
      </c>
      <c r="K33" s="1670">
        <f t="shared" si="1"/>
        <v>11971923</v>
      </c>
      <c r="L33" s="1670">
        <f t="shared" si="1"/>
        <v>11964980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152479</v>
      </c>
      <c r="D36" s="481">
        <v>34533</v>
      </c>
      <c r="E36" s="481">
        <v>21534</v>
      </c>
      <c r="F36" s="481">
        <v>134</v>
      </c>
      <c r="G36" s="481"/>
      <c r="H36" s="481"/>
      <c r="I36" s="467"/>
      <c r="J36" s="467"/>
      <c r="K36" s="1671">
        <f t="shared" ref="K36:K41" si="2">SUM(C36:J36)</f>
        <v>208680</v>
      </c>
      <c r="L36" s="466">
        <v>207785</v>
      </c>
    </row>
    <row r="37" spans="1:14" x14ac:dyDescent="0.2">
      <c r="A37" s="1504" t="s">
        <v>1090</v>
      </c>
      <c r="B37" s="614">
        <v>2120</v>
      </c>
      <c r="C37" s="466">
        <v>232565</v>
      </c>
      <c r="D37" s="466">
        <v>65961</v>
      </c>
      <c r="E37" s="466"/>
      <c r="F37" s="466">
        <v>1463</v>
      </c>
      <c r="G37" s="466"/>
      <c r="H37" s="466"/>
      <c r="I37" s="467"/>
      <c r="J37" s="467"/>
      <c r="K37" s="1671">
        <f t="shared" si="2"/>
        <v>299989</v>
      </c>
      <c r="L37" s="466">
        <v>320830</v>
      </c>
    </row>
    <row r="38" spans="1:14" x14ac:dyDescent="0.2">
      <c r="A38" s="1504" t="s">
        <v>198</v>
      </c>
      <c r="B38" s="614">
        <v>2130</v>
      </c>
      <c r="C38" s="466">
        <v>34021</v>
      </c>
      <c r="D38" s="466">
        <v>14899</v>
      </c>
      <c r="E38" s="466">
        <v>9504</v>
      </c>
      <c r="F38" s="466">
        <v>2170</v>
      </c>
      <c r="G38" s="466">
        <v>2990</v>
      </c>
      <c r="H38" s="466"/>
      <c r="I38" s="467"/>
      <c r="J38" s="467"/>
      <c r="K38" s="1671">
        <f t="shared" si="2"/>
        <v>63584</v>
      </c>
      <c r="L38" s="466">
        <v>50050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419065</v>
      </c>
      <c r="D42" s="1670">
        <f t="shared" ref="D42:L42" si="3">SUM(D36:D41)</f>
        <v>115393</v>
      </c>
      <c r="E42" s="1670">
        <f t="shared" si="3"/>
        <v>31038</v>
      </c>
      <c r="F42" s="1670">
        <f t="shared" si="3"/>
        <v>3767</v>
      </c>
      <c r="G42" s="1670">
        <f t="shared" si="3"/>
        <v>2990</v>
      </c>
      <c r="H42" s="1670">
        <f t="shared" si="3"/>
        <v>0</v>
      </c>
      <c r="I42" s="1670">
        <f t="shared" si="3"/>
        <v>0</v>
      </c>
      <c r="J42" s="1670">
        <f t="shared" si="3"/>
        <v>0</v>
      </c>
      <c r="K42" s="1670">
        <f t="shared" si="3"/>
        <v>572253</v>
      </c>
      <c r="L42" s="1670">
        <f t="shared" si="3"/>
        <v>578665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45036</v>
      </c>
      <c r="D44" s="481">
        <v>16227</v>
      </c>
      <c r="E44" s="481">
        <v>23878</v>
      </c>
      <c r="F44" s="481">
        <v>43222</v>
      </c>
      <c r="G44" s="481">
        <v>45860</v>
      </c>
      <c r="H44" s="481"/>
      <c r="I44" s="467"/>
      <c r="J44" s="467"/>
      <c r="K44" s="1672">
        <f>SUM(C44:J44)</f>
        <v>174223</v>
      </c>
      <c r="L44" s="481">
        <v>135525</v>
      </c>
    </row>
    <row r="45" spans="1:14" x14ac:dyDescent="0.2">
      <c r="A45" s="1504" t="s">
        <v>815</v>
      </c>
      <c r="B45" s="614">
        <v>2220</v>
      </c>
      <c r="C45" s="466">
        <v>158555</v>
      </c>
      <c r="D45" s="466">
        <v>38417</v>
      </c>
      <c r="E45" s="466">
        <v>200</v>
      </c>
      <c r="F45" s="466">
        <v>25400</v>
      </c>
      <c r="G45" s="466"/>
      <c r="H45" s="466"/>
      <c r="I45" s="467"/>
      <c r="J45" s="467"/>
      <c r="K45" s="1672">
        <f>SUM(C45:J45)</f>
        <v>222572</v>
      </c>
      <c r="L45" s="466">
        <v>217515</v>
      </c>
    </row>
    <row r="46" spans="1:14" x14ac:dyDescent="0.2">
      <c r="A46" s="1504" t="s">
        <v>816</v>
      </c>
      <c r="B46" s="614">
        <v>2230</v>
      </c>
      <c r="C46" s="466"/>
      <c r="D46" s="466"/>
      <c r="E46" s="466"/>
      <c r="F46" s="466">
        <v>560</v>
      </c>
      <c r="G46" s="466"/>
      <c r="H46" s="466"/>
      <c r="I46" s="467"/>
      <c r="J46" s="467"/>
      <c r="K46" s="1672">
        <f>SUM(C46:J46)</f>
        <v>560</v>
      </c>
      <c r="L46" s="466">
        <v>500</v>
      </c>
    </row>
    <row r="47" spans="1:14" ht="12.75" customHeight="1" thickBot="1" x14ac:dyDescent="0.25">
      <c r="A47" s="1668" t="s">
        <v>561</v>
      </c>
      <c r="B47" s="1669" t="s">
        <v>32</v>
      </c>
      <c r="C47" s="1670">
        <f>SUM(C44:C46)</f>
        <v>203591</v>
      </c>
      <c r="D47" s="1670">
        <f t="shared" ref="D47:K47" si="4">SUM(D44:D46)</f>
        <v>54644</v>
      </c>
      <c r="E47" s="1670">
        <f t="shared" si="4"/>
        <v>24078</v>
      </c>
      <c r="F47" s="1670">
        <f t="shared" si="4"/>
        <v>69182</v>
      </c>
      <c r="G47" s="1670">
        <f t="shared" si="4"/>
        <v>45860</v>
      </c>
      <c r="H47" s="1670">
        <f t="shared" si="4"/>
        <v>0</v>
      </c>
      <c r="I47" s="1670">
        <f t="shared" si="4"/>
        <v>0</v>
      </c>
      <c r="J47" s="1670">
        <f t="shared" si="4"/>
        <v>0</v>
      </c>
      <c r="K47" s="1670">
        <f t="shared" si="4"/>
        <v>397355</v>
      </c>
      <c r="L47" s="1670">
        <f>SUM(L44:L46)</f>
        <v>353540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73877</v>
      </c>
      <c r="F49" s="481">
        <v>1587</v>
      </c>
      <c r="G49" s="481"/>
      <c r="H49" s="481">
        <v>6025</v>
      </c>
      <c r="I49" s="467"/>
      <c r="J49" s="467"/>
      <c r="K49" s="1672">
        <f>SUM(C49:J49)</f>
        <v>81489</v>
      </c>
      <c r="L49" s="481">
        <v>84800</v>
      </c>
    </row>
    <row r="50" spans="1:14" x14ac:dyDescent="0.2">
      <c r="A50" s="1504" t="s">
        <v>818</v>
      </c>
      <c r="B50" s="614">
        <v>2320</v>
      </c>
      <c r="C50" s="466">
        <v>246879</v>
      </c>
      <c r="D50" s="466">
        <v>36638</v>
      </c>
      <c r="E50" s="466">
        <v>5206</v>
      </c>
      <c r="F50" s="466">
        <v>46137</v>
      </c>
      <c r="G50" s="466"/>
      <c r="H50" s="466">
        <v>1513</v>
      </c>
      <c r="I50" s="467"/>
      <c r="J50" s="467"/>
      <c r="K50" s="1672">
        <f>SUM(C50:J50)</f>
        <v>336373</v>
      </c>
      <c r="L50" s="466">
        <v>320900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246879</v>
      </c>
      <c r="D53" s="1670">
        <f t="shared" ref="D53:L53" si="5">SUM(D49:D52)</f>
        <v>36638</v>
      </c>
      <c r="E53" s="1670">
        <f t="shared" si="5"/>
        <v>79083</v>
      </c>
      <c r="F53" s="1670">
        <f t="shared" si="5"/>
        <v>47724</v>
      </c>
      <c r="G53" s="1670">
        <f t="shared" si="5"/>
        <v>0</v>
      </c>
      <c r="H53" s="1670">
        <f t="shared" si="5"/>
        <v>7538</v>
      </c>
      <c r="I53" s="1670">
        <f t="shared" si="5"/>
        <v>0</v>
      </c>
      <c r="J53" s="1670">
        <f t="shared" si="5"/>
        <v>0</v>
      </c>
      <c r="K53" s="1670">
        <f t="shared" si="5"/>
        <v>417862</v>
      </c>
      <c r="L53" s="1670">
        <f t="shared" si="5"/>
        <v>405700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1029928</v>
      </c>
      <c r="D55" s="481">
        <v>203941</v>
      </c>
      <c r="E55" s="481">
        <v>16143</v>
      </c>
      <c r="F55" s="481">
        <v>24488</v>
      </c>
      <c r="G55" s="481"/>
      <c r="H55" s="481">
        <v>3416</v>
      </c>
      <c r="I55" s="467"/>
      <c r="J55" s="467"/>
      <c r="K55" s="1672">
        <f>SUM(C55:J55)</f>
        <v>1277916</v>
      </c>
      <c r="L55" s="481">
        <v>1264050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1029928</v>
      </c>
      <c r="D57" s="1674">
        <f t="shared" ref="D57:K57" si="6">SUM(D55:D56)</f>
        <v>203941</v>
      </c>
      <c r="E57" s="1674">
        <f t="shared" si="6"/>
        <v>16143</v>
      </c>
      <c r="F57" s="1674">
        <f t="shared" si="6"/>
        <v>24488</v>
      </c>
      <c r="G57" s="1674">
        <f t="shared" si="6"/>
        <v>0</v>
      </c>
      <c r="H57" s="1674">
        <f t="shared" si="6"/>
        <v>3416</v>
      </c>
      <c r="I57" s="1674">
        <f t="shared" si="6"/>
        <v>0</v>
      </c>
      <c r="J57" s="1674">
        <f t="shared" si="6"/>
        <v>0</v>
      </c>
      <c r="K57" s="1674">
        <f t="shared" si="6"/>
        <v>1277916</v>
      </c>
      <c r="L57" s="1670">
        <f>SUM(L55:L56)</f>
        <v>1264050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218389</v>
      </c>
      <c r="D60" s="466">
        <v>29804</v>
      </c>
      <c r="E60" s="466">
        <v>135368</v>
      </c>
      <c r="F60" s="466">
        <v>3661</v>
      </c>
      <c r="G60" s="466"/>
      <c r="H60" s="466">
        <v>15</v>
      </c>
      <c r="I60" s="467"/>
      <c r="J60" s="467"/>
      <c r="K60" s="1672">
        <f t="shared" si="7"/>
        <v>387237</v>
      </c>
      <c r="L60" s="466">
        <v>322300</v>
      </c>
      <c r="M60" s="609"/>
      <c r="N60" s="609"/>
    </row>
    <row r="61" spans="1:14" s="343" customFormat="1" x14ac:dyDescent="0.2">
      <c r="A61" s="1504" t="s">
        <v>197</v>
      </c>
      <c r="B61" s="614">
        <v>2540</v>
      </c>
      <c r="C61" s="466"/>
      <c r="D61" s="466"/>
      <c r="E61" s="466"/>
      <c r="F61" s="466">
        <v>135725</v>
      </c>
      <c r="G61" s="466"/>
      <c r="H61" s="466"/>
      <c r="I61" s="467"/>
      <c r="J61" s="467"/>
      <c r="K61" s="1672">
        <f t="shared" si="7"/>
        <v>135725</v>
      </c>
      <c r="L61" s="466">
        <v>50000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352120</v>
      </c>
      <c r="D63" s="466">
        <v>35335</v>
      </c>
      <c r="E63" s="466">
        <v>8861</v>
      </c>
      <c r="F63" s="466">
        <v>505831</v>
      </c>
      <c r="G63" s="466"/>
      <c r="H63" s="466"/>
      <c r="I63" s="467"/>
      <c r="J63" s="467"/>
      <c r="K63" s="1672">
        <f t="shared" si="7"/>
        <v>902147</v>
      </c>
      <c r="L63" s="466">
        <v>903400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570509</v>
      </c>
      <c r="D65" s="1670">
        <f t="shared" ref="D65:L65" si="8">SUM(D59:D64)</f>
        <v>65139</v>
      </c>
      <c r="E65" s="1670">
        <f t="shared" si="8"/>
        <v>144229</v>
      </c>
      <c r="F65" s="1670">
        <f t="shared" si="8"/>
        <v>645217</v>
      </c>
      <c r="G65" s="1670">
        <f t="shared" si="8"/>
        <v>0</v>
      </c>
      <c r="H65" s="1670">
        <f t="shared" si="8"/>
        <v>15</v>
      </c>
      <c r="I65" s="1670">
        <f t="shared" si="8"/>
        <v>0</v>
      </c>
      <c r="J65" s="1670">
        <f t="shared" si="8"/>
        <v>0</v>
      </c>
      <c r="K65" s="1670">
        <f t="shared" si="8"/>
        <v>1425109</v>
      </c>
      <c r="L65" s="1670">
        <f t="shared" si="8"/>
        <v>1275700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v>300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300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2469972</v>
      </c>
      <c r="D74" s="1677">
        <f t="shared" ref="D74:K74" si="10">SUM(D42,D47,D53,D57,D65,D72,D73)</f>
        <v>475755</v>
      </c>
      <c r="E74" s="1677">
        <f t="shared" si="10"/>
        <v>294571</v>
      </c>
      <c r="F74" s="1677">
        <f t="shared" si="10"/>
        <v>790378</v>
      </c>
      <c r="G74" s="1677">
        <f t="shared" si="10"/>
        <v>48850</v>
      </c>
      <c r="H74" s="1677">
        <f t="shared" si="10"/>
        <v>10969</v>
      </c>
      <c r="I74" s="1677">
        <f t="shared" si="10"/>
        <v>0</v>
      </c>
      <c r="J74" s="1677">
        <f t="shared" si="10"/>
        <v>0</v>
      </c>
      <c r="K74" s="1677">
        <f t="shared" si="10"/>
        <v>4090495</v>
      </c>
      <c r="L74" s="1677">
        <f>SUM(L42,L47,L53,L57,L65,L72,L73)</f>
        <v>3877955</v>
      </c>
    </row>
    <row r="75" spans="1:14" s="259" customFormat="1" ht="15.75" customHeight="1" thickTop="1" thickBot="1" x14ac:dyDescent="0.25">
      <c r="A75" s="1610" t="s">
        <v>47</v>
      </c>
      <c r="B75" s="1611" t="s">
        <v>575</v>
      </c>
      <c r="C75" s="573">
        <v>134574</v>
      </c>
      <c r="D75" s="573">
        <v>28102</v>
      </c>
      <c r="E75" s="573">
        <v>350</v>
      </c>
      <c r="F75" s="573">
        <v>8662</v>
      </c>
      <c r="G75" s="573"/>
      <c r="H75" s="573"/>
      <c r="I75" s="531"/>
      <c r="J75" s="531"/>
      <c r="K75" s="1670">
        <f>SUM(C75:J75)</f>
        <v>171688</v>
      </c>
      <c r="L75" s="576">
        <v>177500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v>35980</v>
      </c>
      <c r="I78" s="477"/>
      <c r="J78" s="477"/>
      <c r="K78" s="1671">
        <f t="shared" ref="K78:K83" si="11">SUM(C78:J78)</f>
        <v>35980</v>
      </c>
      <c r="L78" s="481">
        <v>60665</v>
      </c>
    </row>
    <row r="79" spans="1:14" x14ac:dyDescent="0.2">
      <c r="A79" s="1504" t="s">
        <v>304</v>
      </c>
      <c r="B79" s="614">
        <v>4120</v>
      </c>
      <c r="C79" s="616"/>
      <c r="D79" s="616"/>
      <c r="E79" s="466"/>
      <c r="F79" s="616"/>
      <c r="G79" s="616"/>
      <c r="H79" s="466">
        <f>187191+395029</f>
        <v>582220</v>
      </c>
      <c r="I79" s="477"/>
      <c r="J79" s="477"/>
      <c r="K79" s="1671">
        <f t="shared" si="11"/>
        <v>582220</v>
      </c>
      <c r="L79" s="466">
        <v>640400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160400</v>
      </c>
      <c r="I81" s="477"/>
      <c r="J81" s="477"/>
      <c r="K81" s="1671">
        <f t="shared" si="11"/>
        <v>160400</v>
      </c>
      <c r="L81" s="466">
        <v>75000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v>16329</v>
      </c>
      <c r="I83" s="477"/>
      <c r="J83" s="477"/>
      <c r="K83" s="1671">
        <f t="shared" si="11"/>
        <v>16329</v>
      </c>
      <c r="L83" s="466">
        <v>1500</v>
      </c>
    </row>
    <row r="84" spans="1:12" ht="13.5" thickBot="1" x14ac:dyDescent="0.25">
      <c r="A84" s="1668" t="s">
        <v>1485</v>
      </c>
      <c r="B84" s="1678">
        <v>4100</v>
      </c>
      <c r="C84" s="616"/>
      <c r="D84" s="616"/>
      <c r="E84" s="1670">
        <f>SUM(E78:E83)</f>
        <v>0</v>
      </c>
      <c r="F84" s="616"/>
      <c r="G84" s="616"/>
      <c r="H84" s="1670">
        <f>SUM(H78:H83)</f>
        <v>794929</v>
      </c>
      <c r="I84" s="477"/>
      <c r="J84" s="477"/>
      <c r="K84" s="1670">
        <f>SUM(K78:K83)</f>
        <v>794929</v>
      </c>
      <c r="L84" s="1670">
        <f>SUM(L78:L83)</f>
        <v>777565</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794929</v>
      </c>
      <c r="I102" s="477"/>
      <c r="J102" s="477"/>
      <c r="K102" s="1677">
        <f>SUM(K84,K92,K100,K101)</f>
        <v>794929</v>
      </c>
      <c r="L102" s="1677">
        <f>SUM(L84,L92,L100,L101)</f>
        <v>777565</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11618733</v>
      </c>
      <c r="D114" s="1670">
        <f t="shared" ref="D114:K114" si="13">SUM(D33,D74,D75,D102,D112,D113)</f>
        <v>2622776</v>
      </c>
      <c r="E114" s="1670">
        <f t="shared" si="13"/>
        <v>582421</v>
      </c>
      <c r="F114" s="1670">
        <f t="shared" si="13"/>
        <v>1247544</v>
      </c>
      <c r="G114" s="1670">
        <f t="shared" si="13"/>
        <v>151544</v>
      </c>
      <c r="H114" s="1670">
        <f>SUM(H33,H74,H75,H102,H112,H113)</f>
        <v>806017</v>
      </c>
      <c r="I114" s="1670">
        <f t="shared" si="13"/>
        <v>0</v>
      </c>
      <c r="J114" s="1670">
        <f t="shared" si="13"/>
        <v>0</v>
      </c>
      <c r="K114" s="1670">
        <f t="shared" si="13"/>
        <v>17029035</v>
      </c>
      <c r="L114" s="1670">
        <f>SUM(L33,L74,L75,L102,L112,L113)</f>
        <v>16798000</v>
      </c>
    </row>
    <row r="115" spans="1:14" ht="13.5" thickTop="1" x14ac:dyDescent="0.2">
      <c r="A115" s="2155" t="s">
        <v>996</v>
      </c>
      <c r="B115" s="2156"/>
      <c r="C115" s="618"/>
      <c r="D115" s="618"/>
      <c r="E115" s="618"/>
      <c r="F115" s="618"/>
      <c r="G115" s="618"/>
      <c r="H115" s="618"/>
      <c r="I115" s="618"/>
      <c r="J115" s="618"/>
      <c r="K115" s="1684">
        <f>'Revenues 9-14'!C268-'Expenditures 15-22'!K114</f>
        <v>3508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2056</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556746</v>
      </c>
      <c r="D124" s="466">
        <v>96537</v>
      </c>
      <c r="E124" s="466">
        <v>206995</v>
      </c>
      <c r="F124" s="466">
        <v>538440</v>
      </c>
      <c r="G124" s="466">
        <v>3032</v>
      </c>
      <c r="H124" s="466"/>
      <c r="I124" s="467"/>
      <c r="J124" s="467"/>
      <c r="K124" s="1670">
        <f>SUM(C124:J124)</f>
        <v>1401750</v>
      </c>
      <c r="L124" s="466">
        <v>1425750</v>
      </c>
    </row>
    <row r="125" spans="1:14" ht="14.25" thickTop="1" thickBot="1" x14ac:dyDescent="0.25">
      <c r="A125" s="1504" t="s">
        <v>953</v>
      </c>
      <c r="B125" s="614">
        <v>2550</v>
      </c>
      <c r="C125" s="466"/>
      <c r="D125" s="466"/>
      <c r="E125" s="466"/>
      <c r="F125" s="466"/>
      <c r="G125" s="466"/>
      <c r="H125" s="466"/>
      <c r="I125" s="467"/>
      <c r="J125" s="467"/>
      <c r="K125" s="1670">
        <f>SUM(C125:J125)</f>
        <v>0</v>
      </c>
      <c r="L125" s="466">
        <v>2250</v>
      </c>
    </row>
    <row r="126" spans="1:14" ht="14.25" thickTop="1" thickBot="1" x14ac:dyDescent="0.25">
      <c r="A126" s="1504" t="s">
        <v>100</v>
      </c>
      <c r="B126" s="614">
        <v>2560</v>
      </c>
      <c r="C126" s="654"/>
      <c r="D126" s="654"/>
      <c r="E126" s="654"/>
      <c r="F126" s="654"/>
      <c r="G126" s="466"/>
      <c r="H126" s="654"/>
      <c r="I126" s="474"/>
      <c r="J126" s="616"/>
      <c r="K126" s="1670">
        <f>SUM(C126:J126)</f>
        <v>0</v>
      </c>
      <c r="L126" s="466">
        <v>6000</v>
      </c>
    </row>
    <row r="127" spans="1:14" ht="12.75" customHeight="1" thickTop="1" thickBot="1" x14ac:dyDescent="0.25">
      <c r="A127" s="1668" t="s">
        <v>719</v>
      </c>
      <c r="B127" s="1669" t="s">
        <v>35</v>
      </c>
      <c r="C127" s="1670">
        <f>SUM(C122:C126)</f>
        <v>556746</v>
      </c>
      <c r="D127" s="1670">
        <f t="shared" ref="D127:L127" si="14">SUM(D122:D126)</f>
        <v>96537</v>
      </c>
      <c r="E127" s="1670">
        <f t="shared" si="14"/>
        <v>206995</v>
      </c>
      <c r="F127" s="1670">
        <f t="shared" si="14"/>
        <v>538440</v>
      </c>
      <c r="G127" s="1670">
        <f t="shared" si="14"/>
        <v>3032</v>
      </c>
      <c r="H127" s="1670">
        <f t="shared" si="14"/>
        <v>0</v>
      </c>
      <c r="I127" s="1670">
        <f t="shared" si="14"/>
        <v>0</v>
      </c>
      <c r="J127" s="1670">
        <f t="shared" si="14"/>
        <v>0</v>
      </c>
      <c r="K127" s="1670">
        <f t="shared" si="14"/>
        <v>1401750</v>
      </c>
      <c r="L127" s="1670">
        <f t="shared" si="14"/>
        <v>1434000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556746</v>
      </c>
      <c r="D129" s="1677">
        <f t="shared" ref="D129:L129" si="15">SUM(D120,D127,D128)</f>
        <v>96537</v>
      </c>
      <c r="E129" s="1677">
        <f t="shared" si="15"/>
        <v>206995</v>
      </c>
      <c r="F129" s="1677">
        <f t="shared" si="15"/>
        <v>538440</v>
      </c>
      <c r="G129" s="1677">
        <f t="shared" si="15"/>
        <v>3032</v>
      </c>
      <c r="H129" s="1677">
        <f t="shared" si="15"/>
        <v>0</v>
      </c>
      <c r="I129" s="1677">
        <f t="shared" si="15"/>
        <v>0</v>
      </c>
      <c r="J129" s="1677">
        <f t="shared" si="15"/>
        <v>0</v>
      </c>
      <c r="K129" s="1677">
        <f t="shared" si="15"/>
        <v>1401750</v>
      </c>
      <c r="L129" s="1677">
        <f t="shared" si="15"/>
        <v>1434000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2"/>
      <c r="C151" s="1670">
        <f>SUM(C129,C130,C139,C149,C150)</f>
        <v>556746</v>
      </c>
      <c r="D151" s="1670">
        <f t="shared" ref="D151:K151" si="16">SUM(D129,D130,D139,D149,D150)</f>
        <v>96537</v>
      </c>
      <c r="E151" s="1670">
        <f t="shared" si="16"/>
        <v>206995</v>
      </c>
      <c r="F151" s="1670">
        <f t="shared" si="16"/>
        <v>538440</v>
      </c>
      <c r="G151" s="1670">
        <f t="shared" si="16"/>
        <v>3032</v>
      </c>
      <c r="H151" s="1670">
        <f t="shared" si="16"/>
        <v>0</v>
      </c>
      <c r="I151" s="1670">
        <f t="shared" si="16"/>
        <v>0</v>
      </c>
      <c r="J151" s="1670">
        <f t="shared" si="16"/>
        <v>0</v>
      </c>
      <c r="K151" s="1670">
        <f t="shared" si="16"/>
        <v>1401750</v>
      </c>
      <c r="L151" s="1670">
        <f>SUM(L129,L130,L139,L149,L150)</f>
        <v>1434000</v>
      </c>
    </row>
    <row r="152" spans="1:14" ht="12.75" customHeight="1" thickTop="1" x14ac:dyDescent="0.2">
      <c r="A152" s="2175" t="s">
        <v>1178</v>
      </c>
      <c r="B152" s="2176"/>
      <c r="C152" s="618"/>
      <c r="D152" s="618"/>
      <c r="E152" s="618"/>
      <c r="F152" s="618"/>
      <c r="G152" s="618"/>
      <c r="H152" s="618"/>
      <c r="I152" s="618"/>
      <c r="J152" s="616"/>
      <c r="K152" s="1684">
        <f>'Revenues 9-14'!D268-'Expenditures 15-22'!K151</f>
        <v>1905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1316749</v>
      </c>
      <c r="I169" s="616"/>
      <c r="J169" s="616"/>
      <c r="K169" s="1671">
        <f>SUM(C169:H169)</f>
        <v>1316749</v>
      </c>
      <c r="L169" s="656">
        <v>1311530</v>
      </c>
    </row>
    <row r="170" spans="1:14" ht="33.75" customHeight="1" x14ac:dyDescent="0.2">
      <c r="A170" s="669" t="s">
        <v>1670</v>
      </c>
      <c r="B170" s="671" t="s">
        <v>31</v>
      </c>
      <c r="C170" s="616"/>
      <c r="D170" s="616"/>
      <c r="E170" s="616"/>
      <c r="F170" s="616"/>
      <c r="G170" s="616"/>
      <c r="H170" s="569">
        <v>590000</v>
      </c>
      <c r="I170" s="616"/>
      <c r="J170" s="616"/>
      <c r="K170" s="1671">
        <f>SUM(C170:J170)</f>
        <v>590000</v>
      </c>
      <c r="L170" s="569">
        <v>600000</v>
      </c>
    </row>
    <row r="171" spans="1:14" ht="15.75" customHeight="1" x14ac:dyDescent="0.2">
      <c r="A171" s="621" t="s">
        <v>766</v>
      </c>
      <c r="B171" s="672" t="s">
        <v>84</v>
      </c>
      <c r="C171" s="616"/>
      <c r="D171" s="616"/>
      <c r="E171" s="466"/>
      <c r="F171" s="616"/>
      <c r="G171" s="616"/>
      <c r="H171" s="569">
        <v>2500</v>
      </c>
      <c r="I171" s="477"/>
      <c r="J171" s="616"/>
      <c r="K171" s="1671">
        <f>SUM(C171:J171)</f>
        <v>2500</v>
      </c>
      <c r="L171" s="569">
        <v>6000</v>
      </c>
    </row>
    <row r="172" spans="1:14" ht="12.75" customHeight="1" thickBot="1" x14ac:dyDescent="0.25">
      <c r="A172" s="1668" t="s">
        <v>638</v>
      </c>
      <c r="B172" s="1669" t="s">
        <v>492</v>
      </c>
      <c r="C172" s="616"/>
      <c r="D172" s="616"/>
      <c r="E172" s="1677">
        <f>SUM(E168,E169,E170,E171)</f>
        <v>0</v>
      </c>
      <c r="F172" s="616"/>
      <c r="G172" s="616"/>
      <c r="H172" s="1677">
        <f>SUM(H168,H169,H170,H171)</f>
        <v>1909249</v>
      </c>
      <c r="I172" s="638"/>
      <c r="J172" s="616"/>
      <c r="K172" s="1677">
        <f>SUM(K168,K169,K170,K171)</f>
        <v>1909249</v>
      </c>
      <c r="L172" s="1677">
        <f>SUM(L168,L169,L170,L171)</f>
        <v>1917530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1909249</v>
      </c>
      <c r="I174" s="638"/>
      <c r="J174" s="616"/>
      <c r="K174" s="1677">
        <f>SUM(K160,K172,K173)</f>
        <v>1909249</v>
      </c>
      <c r="L174" s="1677">
        <f>SUM(L160,L172,L173)</f>
        <v>1917530</v>
      </c>
    </row>
    <row r="175" spans="1:14" ht="13.5" thickTop="1" x14ac:dyDescent="0.2">
      <c r="A175" s="2155" t="s">
        <v>996</v>
      </c>
      <c r="B175" s="2156"/>
      <c r="C175" s="616"/>
      <c r="D175" s="616"/>
      <c r="E175" s="616"/>
      <c r="F175" s="616"/>
      <c r="G175" s="616"/>
      <c r="H175" s="618"/>
      <c r="I175" s="616"/>
      <c r="J175" s="616"/>
      <c r="K175" s="1684">
        <f>'Revenues 9-14'!E268-'Expenditures 15-22'!K174</f>
        <v>38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2056</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650908</v>
      </c>
      <c r="D182" s="466">
        <v>45811</v>
      </c>
      <c r="E182" s="466">
        <v>26405</v>
      </c>
      <c r="F182" s="466">
        <v>206785</v>
      </c>
      <c r="G182" s="466">
        <v>288846</v>
      </c>
      <c r="H182" s="466"/>
      <c r="I182" s="467"/>
      <c r="J182" s="467"/>
      <c r="K182" s="1671">
        <f>SUM(C182:J182)</f>
        <v>1218755</v>
      </c>
      <c r="L182" s="466">
        <v>1536000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650908</v>
      </c>
      <c r="D184" s="1677">
        <f t="shared" ref="D184:J184" si="17">SUM(D180,D182,D183)</f>
        <v>45811</v>
      </c>
      <c r="E184" s="1677">
        <f t="shared" si="17"/>
        <v>26405</v>
      </c>
      <c r="F184" s="1677">
        <f t="shared" si="17"/>
        <v>206785</v>
      </c>
      <c r="G184" s="1677">
        <f t="shared" si="17"/>
        <v>288846</v>
      </c>
      <c r="H184" s="1677">
        <f t="shared" si="17"/>
        <v>0</v>
      </c>
      <c r="I184" s="1677">
        <f t="shared" si="17"/>
        <v>0</v>
      </c>
      <c r="J184" s="1677">
        <f t="shared" si="17"/>
        <v>0</v>
      </c>
      <c r="K184" s="1677">
        <f>SUM(K180,K182,K183)</f>
        <v>1218755</v>
      </c>
      <c r="L184" s="1677">
        <f>SUM(L180, L182:L183)</f>
        <v>1536000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650908</v>
      </c>
      <c r="D210" s="1670">
        <f>SUM(D184,D185)</f>
        <v>45811</v>
      </c>
      <c r="E210" s="1670">
        <f>SUM(E184,E185,E196)</f>
        <v>26405</v>
      </c>
      <c r="F210" s="1670">
        <f>SUM(F184,F185)</f>
        <v>206785</v>
      </c>
      <c r="G210" s="1670">
        <f>SUM(G184,G185)</f>
        <v>288846</v>
      </c>
      <c r="H210" s="1670">
        <f>SUM(H184,H185,H196,H208,H209)</f>
        <v>0</v>
      </c>
      <c r="I210" s="1670">
        <f>SUM(I184,I185)</f>
        <v>0</v>
      </c>
      <c r="J210" s="1670">
        <f>SUM(J184,J185)</f>
        <v>0</v>
      </c>
      <c r="K210" s="1671">
        <f>SUM(K184,K185,K196,K208,K209)</f>
        <v>1218755</v>
      </c>
      <c r="L210" s="1670">
        <f>SUM(L184,L185,L196,L208,L209)</f>
        <v>1536000</v>
      </c>
    </row>
    <row r="211" spans="1:14" ht="13.5" thickTop="1" x14ac:dyDescent="0.2">
      <c r="A211" s="2155" t="s">
        <v>996</v>
      </c>
      <c r="B211" s="2156"/>
      <c r="C211" s="618"/>
      <c r="D211" s="618"/>
      <c r="E211" s="618"/>
      <c r="F211" s="618"/>
      <c r="G211" s="618"/>
      <c r="H211" s="618"/>
      <c r="I211" s="616"/>
      <c r="J211" s="616"/>
      <c r="K211" s="1684">
        <f>'Revenues 9-14'!F268-'Expenditures 15-22'!K210</f>
        <v>11337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118384</v>
      </c>
      <c r="E215" s="616"/>
      <c r="F215" s="616"/>
      <c r="G215" s="616"/>
      <c r="H215" s="616"/>
      <c r="I215" s="616"/>
      <c r="J215" s="616"/>
      <c r="K215" s="1671">
        <f>D215</f>
        <v>118384</v>
      </c>
      <c r="L215" s="466">
        <v>119300</v>
      </c>
    </row>
    <row r="216" spans="1:14" x14ac:dyDescent="0.2">
      <c r="A216" s="1504" t="s">
        <v>163</v>
      </c>
      <c r="B216" s="614" t="s">
        <v>967</v>
      </c>
      <c r="C216" s="616"/>
      <c r="D216" s="467">
        <v>3696</v>
      </c>
      <c r="E216" s="616"/>
      <c r="F216" s="616"/>
      <c r="G216" s="616"/>
      <c r="H216" s="616"/>
      <c r="I216" s="616"/>
      <c r="J216" s="616"/>
      <c r="K216" s="1671">
        <f t="shared" ref="K216:K228" si="19">D216</f>
        <v>3696</v>
      </c>
      <c r="L216" s="466">
        <v>3200</v>
      </c>
    </row>
    <row r="217" spans="1:14" x14ac:dyDescent="0.2">
      <c r="A217" s="1504" t="s">
        <v>164</v>
      </c>
      <c r="B217" s="614">
        <v>1200</v>
      </c>
      <c r="C217" s="616"/>
      <c r="D217" s="466">
        <v>47378</v>
      </c>
      <c r="E217" s="616"/>
      <c r="F217" s="616"/>
      <c r="G217" s="616"/>
      <c r="H217" s="616"/>
      <c r="I217" s="616"/>
      <c r="J217" s="616"/>
      <c r="K217" s="1671">
        <f t="shared" si="19"/>
        <v>47378</v>
      </c>
      <c r="L217" s="466">
        <v>55200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2103</v>
      </c>
      <c r="E219" s="616"/>
      <c r="F219" s="616"/>
      <c r="G219" s="616"/>
      <c r="H219" s="616"/>
      <c r="I219" s="616"/>
      <c r="J219" s="616"/>
      <c r="K219" s="1671">
        <f t="shared" si="19"/>
        <v>2103</v>
      </c>
      <c r="L219" s="466">
        <v>4200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7733</v>
      </c>
      <c r="E223" s="616"/>
      <c r="F223" s="616"/>
      <c r="G223" s="616"/>
      <c r="H223" s="616"/>
      <c r="I223" s="616"/>
      <c r="J223" s="616"/>
      <c r="K223" s="1671">
        <f t="shared" si="19"/>
        <v>7733</v>
      </c>
      <c r="L223" s="466">
        <v>8000</v>
      </c>
    </row>
    <row r="224" spans="1:14" x14ac:dyDescent="0.2">
      <c r="A224" s="1504" t="s">
        <v>964</v>
      </c>
      <c r="B224" s="614">
        <v>1600</v>
      </c>
      <c r="C224" s="616"/>
      <c r="D224" s="466">
        <v>95</v>
      </c>
      <c r="E224" s="616"/>
      <c r="F224" s="616"/>
      <c r="G224" s="616"/>
      <c r="H224" s="616"/>
      <c r="I224" s="616"/>
      <c r="J224" s="616"/>
      <c r="K224" s="1671">
        <f t="shared" si="19"/>
        <v>95</v>
      </c>
      <c r="L224" s="466">
        <v>150</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1183</v>
      </c>
      <c r="E226" s="616"/>
      <c r="F226" s="616"/>
      <c r="G226" s="616"/>
      <c r="H226" s="616"/>
      <c r="I226" s="616"/>
      <c r="J226" s="616"/>
      <c r="K226" s="1671">
        <f t="shared" si="19"/>
        <v>1183</v>
      </c>
      <c r="L226" s="466">
        <v>1300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v>235</v>
      </c>
      <c r="E228" s="616"/>
      <c r="F228" s="616"/>
      <c r="G228" s="616"/>
      <c r="H228" s="616"/>
      <c r="I228" s="616"/>
      <c r="J228" s="616"/>
      <c r="K228" s="1671">
        <f t="shared" si="19"/>
        <v>235</v>
      </c>
      <c r="L228" s="466">
        <v>150</v>
      </c>
    </row>
    <row r="229" spans="1:12" ht="12.75" customHeight="1" thickBot="1" x14ac:dyDescent="0.25">
      <c r="A229" s="1668" t="s">
        <v>715</v>
      </c>
      <c r="B229" s="1675" t="s">
        <v>570</v>
      </c>
      <c r="C229" s="616"/>
      <c r="D229" s="1670">
        <f>SUM(D215:D228)</f>
        <v>180807</v>
      </c>
      <c r="E229" s="616"/>
      <c r="F229" s="616"/>
      <c r="G229" s="616"/>
      <c r="H229" s="616"/>
      <c r="I229" s="616"/>
      <c r="J229" s="616"/>
      <c r="K229" s="1670">
        <f>SUM(K215:K228)</f>
        <v>180807</v>
      </c>
      <c r="L229" s="1670">
        <f>SUM(L215:L228)</f>
        <v>191500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4390</v>
      </c>
      <c r="E232" s="616"/>
      <c r="F232" s="616"/>
      <c r="G232" s="616"/>
      <c r="H232" s="616"/>
      <c r="I232" s="616"/>
      <c r="J232" s="616"/>
      <c r="K232" s="1671">
        <f t="shared" ref="K232:K237" si="20">D232</f>
        <v>4390</v>
      </c>
      <c r="L232" s="466">
        <v>4800</v>
      </c>
    </row>
    <row r="233" spans="1:12" x14ac:dyDescent="0.2">
      <c r="A233" s="1504" t="s">
        <v>1090</v>
      </c>
      <c r="B233" s="614">
        <v>2120</v>
      </c>
      <c r="C233" s="616"/>
      <c r="D233" s="466">
        <v>6420</v>
      </c>
      <c r="E233" s="616"/>
      <c r="F233" s="616"/>
      <c r="G233" s="616"/>
      <c r="H233" s="616"/>
      <c r="I233" s="616"/>
      <c r="J233" s="616"/>
      <c r="K233" s="1671">
        <f t="shared" si="20"/>
        <v>6420</v>
      </c>
      <c r="L233" s="466">
        <v>6500</v>
      </c>
    </row>
    <row r="234" spans="1:12" x14ac:dyDescent="0.2">
      <c r="A234" s="1504" t="s">
        <v>198</v>
      </c>
      <c r="B234" s="614">
        <v>2130</v>
      </c>
      <c r="C234" s="616"/>
      <c r="D234" s="466">
        <v>3645</v>
      </c>
      <c r="E234" s="616"/>
      <c r="F234" s="616"/>
      <c r="G234" s="616"/>
      <c r="H234" s="616"/>
      <c r="I234" s="616"/>
      <c r="J234" s="616"/>
      <c r="K234" s="1671">
        <f t="shared" si="20"/>
        <v>3645</v>
      </c>
      <c r="L234" s="466">
        <v>4100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14455</v>
      </c>
      <c r="E238" s="616"/>
      <c r="F238" s="616"/>
      <c r="G238" s="616"/>
      <c r="H238" s="616"/>
      <c r="I238" s="616"/>
      <c r="J238" s="616"/>
      <c r="K238" s="1670">
        <f>SUM(K232:K237)</f>
        <v>14455</v>
      </c>
      <c r="L238" s="1670">
        <f>SUM(L232:L237)</f>
        <v>15400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648</v>
      </c>
      <c r="E240" s="616"/>
      <c r="F240" s="616"/>
      <c r="G240" s="616"/>
      <c r="H240" s="616"/>
      <c r="I240" s="616"/>
      <c r="J240" s="616"/>
      <c r="K240" s="1672">
        <f>D240</f>
        <v>648</v>
      </c>
      <c r="L240" s="481">
        <v>800</v>
      </c>
    </row>
    <row r="241" spans="1:12" x14ac:dyDescent="0.2">
      <c r="A241" s="1504" t="s">
        <v>815</v>
      </c>
      <c r="B241" s="614">
        <v>2220</v>
      </c>
      <c r="C241" s="616"/>
      <c r="D241" s="466">
        <v>7899</v>
      </c>
      <c r="E241" s="616"/>
      <c r="F241" s="616"/>
      <c r="G241" s="616"/>
      <c r="H241" s="616"/>
      <c r="I241" s="616"/>
      <c r="J241" s="616"/>
      <c r="K241" s="1672">
        <f>D241</f>
        <v>7899</v>
      </c>
      <c r="L241" s="466">
        <v>8650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8547</v>
      </c>
      <c r="E243" s="616"/>
      <c r="F243" s="616"/>
      <c r="G243" s="616"/>
      <c r="H243" s="616"/>
      <c r="I243" s="616"/>
      <c r="J243" s="616"/>
      <c r="K243" s="1670">
        <f>SUM(K240:K242)</f>
        <v>8547</v>
      </c>
      <c r="L243" s="1670">
        <f>SUM(L240:L242)</f>
        <v>9450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85000</v>
      </c>
      <c r="E245" s="616"/>
      <c r="F245" s="616"/>
      <c r="G245" s="616"/>
      <c r="H245" s="616"/>
      <c r="I245" s="616"/>
      <c r="J245" s="616"/>
      <c r="K245" s="1672">
        <f>D245</f>
        <v>85000</v>
      </c>
      <c r="L245" s="481">
        <v>57500</v>
      </c>
    </row>
    <row r="246" spans="1:12" x14ac:dyDescent="0.2">
      <c r="A246" s="1504" t="s">
        <v>818</v>
      </c>
      <c r="B246" s="614">
        <v>2320</v>
      </c>
      <c r="C246" s="616"/>
      <c r="D246" s="466">
        <v>15662</v>
      </c>
      <c r="E246" s="616"/>
      <c r="F246" s="616"/>
      <c r="G246" s="616"/>
      <c r="H246" s="616"/>
      <c r="I246" s="616"/>
      <c r="J246" s="616"/>
      <c r="K246" s="1672">
        <f t="shared" ref="K246:K256" si="21">D246</f>
        <v>15662</v>
      </c>
      <c r="L246" s="466">
        <v>14300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100662</v>
      </c>
      <c r="E257" s="616"/>
      <c r="F257" s="616"/>
      <c r="G257" s="616"/>
      <c r="H257" s="616"/>
      <c r="I257" s="616"/>
      <c r="J257" s="616"/>
      <c r="K257" s="1670">
        <f>SUM(K245:K256)</f>
        <v>100662</v>
      </c>
      <c r="L257" s="1670">
        <f>SUM(L245:L256)</f>
        <v>71800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42080</v>
      </c>
      <c r="E259" s="616"/>
      <c r="F259" s="616"/>
      <c r="G259" s="616"/>
      <c r="H259" s="616"/>
      <c r="I259" s="616"/>
      <c r="J259" s="616"/>
      <c r="K259" s="1672">
        <f>D259</f>
        <v>42080</v>
      </c>
      <c r="L259" s="481">
        <v>44100</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42080</v>
      </c>
      <c r="E261" s="616"/>
      <c r="F261" s="616"/>
      <c r="G261" s="616"/>
      <c r="H261" s="616"/>
      <c r="I261" s="616"/>
      <c r="J261" s="616"/>
      <c r="K261" s="1670">
        <f>SUM(K259:K260)</f>
        <v>42080</v>
      </c>
      <c r="L261" s="1670">
        <f>SUM(L259:L260)</f>
        <v>44100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17231</v>
      </c>
      <c r="E264" s="616"/>
      <c r="F264" s="616"/>
      <c r="G264" s="616"/>
      <c r="H264" s="616"/>
      <c r="I264" s="616"/>
      <c r="J264" s="616"/>
      <c r="K264" s="1672">
        <f t="shared" ref="K264:K269" si="22">D264</f>
        <v>17231</v>
      </c>
      <c r="L264" s="466">
        <v>284650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102872</v>
      </c>
      <c r="E266" s="616"/>
      <c r="F266" s="616"/>
      <c r="G266" s="616"/>
      <c r="H266" s="616"/>
      <c r="I266" s="616"/>
      <c r="J266" s="616"/>
      <c r="K266" s="1672">
        <f t="shared" si="22"/>
        <v>102872</v>
      </c>
      <c r="L266" s="466"/>
    </row>
    <row r="267" spans="1:14" x14ac:dyDescent="0.2">
      <c r="A267" s="1504" t="s">
        <v>953</v>
      </c>
      <c r="B267" s="614">
        <v>2550</v>
      </c>
      <c r="C267" s="616"/>
      <c r="D267" s="466">
        <v>95937</v>
      </c>
      <c r="E267" s="616"/>
      <c r="F267" s="616"/>
      <c r="G267" s="616"/>
      <c r="H267" s="616"/>
      <c r="I267" s="616"/>
      <c r="J267" s="616"/>
      <c r="K267" s="1672">
        <f t="shared" si="22"/>
        <v>95937</v>
      </c>
      <c r="L267" s="466"/>
    </row>
    <row r="268" spans="1:14" x14ac:dyDescent="0.2">
      <c r="A268" s="1504" t="s">
        <v>100</v>
      </c>
      <c r="B268" s="614">
        <v>2560</v>
      </c>
      <c r="C268" s="616"/>
      <c r="D268" s="466">
        <v>49964</v>
      </c>
      <c r="E268" s="616"/>
      <c r="F268" s="616"/>
      <c r="G268" s="616"/>
      <c r="H268" s="616"/>
      <c r="I268" s="616"/>
      <c r="J268" s="616"/>
      <c r="K268" s="1672">
        <f t="shared" si="22"/>
        <v>49964</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266004</v>
      </c>
      <c r="E270" s="616"/>
      <c r="F270" s="616"/>
      <c r="G270" s="616"/>
      <c r="H270" s="616"/>
      <c r="I270" s="616"/>
      <c r="J270" s="616"/>
      <c r="K270" s="1670">
        <f>SUM(K263:K269)</f>
        <v>266004</v>
      </c>
      <c r="L270" s="1670">
        <f>SUM(L263:L269)</f>
        <v>284650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431748</v>
      </c>
      <c r="E279" s="616"/>
      <c r="F279" s="616"/>
      <c r="G279" s="616"/>
      <c r="H279" s="616"/>
      <c r="I279" s="616"/>
      <c r="J279" s="616"/>
      <c r="K279" s="1677">
        <f>SUM(K238,K243,K257,K261,K270,K277,K278)</f>
        <v>431748</v>
      </c>
      <c r="L279" s="1677">
        <f>SUM(L238,L243,L257,L261,L270,L277,L278)</f>
        <v>425400</v>
      </c>
    </row>
    <row r="280" spans="1:12" ht="15.75" customHeight="1" thickTop="1" thickBot="1" x14ac:dyDescent="0.25">
      <c r="A280" s="1624" t="s">
        <v>875</v>
      </c>
      <c r="B280" s="1613">
        <v>3000</v>
      </c>
      <c r="C280" s="616"/>
      <c r="D280" s="576">
        <v>19582</v>
      </c>
      <c r="E280" s="616"/>
      <c r="F280" s="616"/>
      <c r="G280" s="616"/>
      <c r="H280" s="616"/>
      <c r="I280" s="616"/>
      <c r="J280" s="616"/>
      <c r="K280" s="1679">
        <f>D280</f>
        <v>19582</v>
      </c>
      <c r="L280" s="576">
        <v>20600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632137</v>
      </c>
      <c r="E295" s="616"/>
      <c r="F295" s="616"/>
      <c r="G295" s="616"/>
      <c r="H295" s="1670">
        <f>H293</f>
        <v>0</v>
      </c>
      <c r="I295" s="616"/>
      <c r="J295" s="616"/>
      <c r="K295" s="1670">
        <f>SUM(K229,K279,K280,K285,K293,K294)</f>
        <v>632137</v>
      </c>
      <c r="L295" s="1670">
        <f>SUM(L229,L279,L280,L285,L293,L294)</f>
        <v>637500</v>
      </c>
    </row>
    <row r="296" spans="1:14" ht="13.5" thickTop="1" x14ac:dyDescent="0.2">
      <c r="A296" s="2155" t="s">
        <v>996</v>
      </c>
      <c r="B296" s="2156"/>
      <c r="C296" s="616"/>
      <c r="D296" s="618"/>
      <c r="E296" s="616"/>
      <c r="F296" s="616"/>
      <c r="G296" s="616"/>
      <c r="H296" s="687"/>
      <c r="I296" s="616"/>
      <c r="J296" s="616"/>
      <c r="K296" s="1684">
        <f>'Revenues 9-14'!G268-'Expenditures 15-22'!K295</f>
        <v>4291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290688</v>
      </c>
      <c r="F301" s="466">
        <v>60055</v>
      </c>
      <c r="G301" s="466">
        <v>11759</v>
      </c>
      <c r="H301" s="466"/>
      <c r="I301" s="467"/>
      <c r="J301" s="467"/>
      <c r="K301" s="1671">
        <f>SUM(C301:J301)</f>
        <v>362502</v>
      </c>
      <c r="L301" s="467">
        <v>1565000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290688</v>
      </c>
      <c r="F303" s="1677">
        <f t="shared" si="23"/>
        <v>60055</v>
      </c>
      <c r="G303" s="1677">
        <f t="shared" si="23"/>
        <v>11759</v>
      </c>
      <c r="H303" s="1677">
        <f t="shared" si="23"/>
        <v>0</v>
      </c>
      <c r="I303" s="1677">
        <f t="shared" si="23"/>
        <v>0</v>
      </c>
      <c r="J303" s="1677">
        <f t="shared" si="23"/>
        <v>0</v>
      </c>
      <c r="K303" s="1677">
        <f t="shared" si="23"/>
        <v>362502</v>
      </c>
      <c r="L303" s="1677">
        <f t="shared" si="23"/>
        <v>1565000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290688</v>
      </c>
      <c r="F312" s="1670">
        <f>SUM(F303)</f>
        <v>60055</v>
      </c>
      <c r="G312" s="1670">
        <f>SUM(G303)</f>
        <v>11759</v>
      </c>
      <c r="H312" s="1670">
        <f>SUM(H303,H310)</f>
        <v>0</v>
      </c>
      <c r="I312" s="1670">
        <f>SUM(I303)</f>
        <v>0</v>
      </c>
      <c r="J312" s="1670">
        <f>SUM(J303)</f>
        <v>0</v>
      </c>
      <c r="K312" s="1670">
        <f>SUM(K303,K310,K311)</f>
        <v>362502</v>
      </c>
      <c r="L312" s="1670">
        <f>SUM(L303,L310,L311)</f>
        <v>1565000</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-236935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271992</v>
      </c>
      <c r="F322" s="467"/>
      <c r="G322" s="467"/>
      <c r="H322" s="467"/>
      <c r="I322" s="467"/>
      <c r="J322" s="467"/>
      <c r="K322" s="1671">
        <f t="shared" si="24"/>
        <v>271992</v>
      </c>
      <c r="L322" s="467">
        <v>255000</v>
      </c>
      <c r="M322" s="665"/>
      <c r="N322" s="665"/>
    </row>
    <row r="323" spans="1:14" s="674" customFormat="1" x14ac:dyDescent="0.2">
      <c r="A323" s="1519" t="s">
        <v>702</v>
      </c>
      <c r="B323" s="697" t="s">
        <v>285</v>
      </c>
      <c r="C323" s="467">
        <v>179200</v>
      </c>
      <c r="D323" s="467">
        <v>31900</v>
      </c>
      <c r="E323" s="467">
        <v>55000</v>
      </c>
      <c r="F323" s="467"/>
      <c r="G323" s="467"/>
      <c r="H323" s="467"/>
      <c r="I323" s="467"/>
      <c r="J323" s="467"/>
      <c r="K323" s="1671">
        <f t="shared" si="24"/>
        <v>266100</v>
      </c>
      <c r="L323" s="467">
        <v>289620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65900</v>
      </c>
      <c r="D325" s="467">
        <v>14300</v>
      </c>
      <c r="E325" s="467"/>
      <c r="F325" s="467"/>
      <c r="G325" s="467"/>
      <c r="H325" s="467"/>
      <c r="I325" s="467"/>
      <c r="J325" s="467"/>
      <c r="K325" s="1671">
        <f t="shared" si="24"/>
        <v>80200</v>
      </c>
      <c r="L325" s="467">
        <v>73000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24471</v>
      </c>
      <c r="F327" s="467"/>
      <c r="G327" s="467"/>
      <c r="H327" s="467"/>
      <c r="I327" s="467"/>
      <c r="J327" s="467"/>
      <c r="K327" s="1671">
        <f t="shared" si="24"/>
        <v>24471</v>
      </c>
      <c r="L327" s="467">
        <v>28000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245100</v>
      </c>
      <c r="D330" s="1670">
        <f t="shared" ref="D330:J330" si="25">SUM(D319:D329)</f>
        <v>46200</v>
      </c>
      <c r="E330" s="1670">
        <f t="shared" si="25"/>
        <v>351463</v>
      </c>
      <c r="F330" s="1670">
        <f t="shared" si="25"/>
        <v>0</v>
      </c>
      <c r="G330" s="1670">
        <f t="shared" si="25"/>
        <v>0</v>
      </c>
      <c r="H330" s="1670">
        <f t="shared" si="25"/>
        <v>0</v>
      </c>
      <c r="I330" s="1670">
        <f t="shared" si="25"/>
        <v>0</v>
      </c>
      <c r="J330" s="1670">
        <f t="shared" si="25"/>
        <v>0</v>
      </c>
      <c r="K330" s="1670">
        <f>SUM(K319:K329)</f>
        <v>642763</v>
      </c>
      <c r="L330" s="1670">
        <f>SUM(L319:L329)</f>
        <v>645620</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245100</v>
      </c>
      <c r="D342" s="1670">
        <f>SUM(D330)</f>
        <v>46200</v>
      </c>
      <c r="E342" s="1670">
        <f>SUM(E330)</f>
        <v>351463</v>
      </c>
      <c r="F342" s="1670">
        <f>SUM(F330)</f>
        <v>0</v>
      </c>
      <c r="G342" s="1670">
        <f>SUM(G330)</f>
        <v>0</v>
      </c>
      <c r="H342" s="1670">
        <f>SUM(H330,H334,H340)</f>
        <v>0</v>
      </c>
      <c r="I342" s="1670">
        <f>SUM(I330)</f>
        <v>0</v>
      </c>
      <c r="J342" s="1670">
        <f>SUM(J330)</f>
        <v>0</v>
      </c>
      <c r="K342" s="1670">
        <f>SUM(K330,K334,K340)</f>
        <v>642763</v>
      </c>
      <c r="L342" s="1677">
        <f>SUM(L330,L340,L341)</f>
        <v>645620</v>
      </c>
    </row>
    <row r="343" spans="1:14" ht="12.75" customHeight="1" thickTop="1" x14ac:dyDescent="0.2">
      <c r="A343" s="2168" t="s">
        <v>996</v>
      </c>
      <c r="B343" s="2169"/>
      <c r="C343" s="616"/>
      <c r="D343" s="616"/>
      <c r="E343" s="616"/>
      <c r="F343" s="616"/>
      <c r="G343" s="616"/>
      <c r="H343" s="616"/>
      <c r="I343" s="616"/>
      <c r="J343" s="616"/>
      <c r="K343" s="1684">
        <f>'Revenues 9-14'!J268-'Expenditures 15-22'!K342</f>
        <v>-1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v>790000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790000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790000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790000</v>
      </c>
    </row>
    <row r="368" spans="1:14" ht="13.5" thickTop="1" x14ac:dyDescent="0.2">
      <c r="A368" s="2155" t="s">
        <v>996</v>
      </c>
      <c r="B368" s="2156"/>
      <c r="C368" s="654"/>
      <c r="D368" s="654"/>
      <c r="E368" s="626"/>
      <c r="F368" s="626"/>
      <c r="G368" s="626"/>
      <c r="H368" s="626"/>
      <c r="I368" s="626"/>
      <c r="J368" s="623"/>
      <c r="K368" s="1671">
        <f>'Revenues 9-14'!K268-'Expenditures 15-22'!K367</f>
        <v>144422</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4" sqref="B1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1799</v>
      </c>
      <c r="B2" s="1528" t="s">
        <v>1947</v>
      </c>
      <c r="C2" s="714" t="s">
        <v>1948</v>
      </c>
      <c r="D2" s="714" t="s">
        <v>1949</v>
      </c>
      <c r="E2" s="714" t="s">
        <v>1950</v>
      </c>
      <c r="F2" s="714" t="s">
        <v>1951</v>
      </c>
    </row>
    <row r="3" spans="1:6" ht="12" customHeight="1" x14ac:dyDescent="0.2">
      <c r="A3" s="2183"/>
      <c r="B3" s="1525"/>
      <c r="C3" s="1526"/>
      <c r="D3" s="1527" t="s">
        <v>256</v>
      </c>
      <c r="E3" s="1526"/>
      <c r="F3" s="1527" t="s">
        <v>257</v>
      </c>
    </row>
    <row r="4" spans="1:6" ht="13.7" customHeight="1" x14ac:dyDescent="0.2">
      <c r="A4" s="715" t="s">
        <v>1155</v>
      </c>
      <c r="B4" s="1749">
        <f>'Revenues 9-14'!C5</f>
        <v>6686895</v>
      </c>
      <c r="C4" s="1524"/>
      <c r="D4" s="1752">
        <f>B4-C4</f>
        <v>6686895</v>
      </c>
      <c r="E4" s="1524">
        <f>6803962</f>
        <v>6803962</v>
      </c>
      <c r="F4" s="1752">
        <f>E4-C4</f>
        <v>6803962</v>
      </c>
    </row>
    <row r="5" spans="1:6" ht="13.7" customHeight="1" x14ac:dyDescent="0.2">
      <c r="A5" s="715" t="s">
        <v>870</v>
      </c>
      <c r="B5" s="1750">
        <f>'Revenues 9-14'!D5</f>
        <v>1375873</v>
      </c>
      <c r="C5" s="585"/>
      <c r="D5" s="1753">
        <f t="shared" ref="D5:D18" si="0">B5-C5</f>
        <v>1375873</v>
      </c>
      <c r="E5" s="585">
        <v>1399992</v>
      </c>
      <c r="F5" s="1753">
        <f>E5-C5</f>
        <v>1399992</v>
      </c>
    </row>
    <row r="6" spans="1:6" ht="13.7" customHeight="1" x14ac:dyDescent="0.2">
      <c r="A6" s="715" t="s">
        <v>411</v>
      </c>
      <c r="B6" s="1750">
        <f>'Revenues 9-14'!E5</f>
        <v>530015</v>
      </c>
      <c r="C6" s="585"/>
      <c r="D6" s="1753">
        <f t="shared" si="0"/>
        <v>530015</v>
      </c>
      <c r="E6" s="585">
        <v>562381</v>
      </c>
      <c r="F6" s="1753">
        <f t="shared" ref="F6:F18" si="1">E6-C6</f>
        <v>562381</v>
      </c>
    </row>
    <row r="7" spans="1:6" ht="13.7" customHeight="1" x14ac:dyDescent="0.2">
      <c r="A7" s="715" t="s">
        <v>155</v>
      </c>
      <c r="B7" s="1750">
        <f>'Revenues 9-14'!F5</f>
        <v>550349</v>
      </c>
      <c r="C7" s="585"/>
      <c r="D7" s="1753">
        <f t="shared" si="0"/>
        <v>550349</v>
      </c>
      <c r="E7" s="585">
        <v>559997</v>
      </c>
      <c r="F7" s="1753">
        <f t="shared" si="1"/>
        <v>559997</v>
      </c>
    </row>
    <row r="8" spans="1:6" ht="13.7" customHeight="1" x14ac:dyDescent="0.2">
      <c r="A8" s="715" t="s">
        <v>1179</v>
      </c>
      <c r="B8" s="1750">
        <f>'Revenues 9-14'!G5</f>
        <v>308527</v>
      </c>
      <c r="C8" s="585"/>
      <c r="D8" s="1753">
        <f t="shared" si="0"/>
        <v>308527</v>
      </c>
      <c r="E8" s="585">
        <v>306906</v>
      </c>
      <c r="F8" s="1753">
        <f t="shared" si="1"/>
        <v>306906</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137586</v>
      </c>
      <c r="C10" s="585"/>
      <c r="D10" s="1753">
        <f t="shared" si="0"/>
        <v>137586</v>
      </c>
      <c r="E10" s="585">
        <v>139999</v>
      </c>
      <c r="F10" s="1753">
        <f t="shared" si="1"/>
        <v>139999</v>
      </c>
    </row>
    <row r="11" spans="1:6" x14ac:dyDescent="0.2">
      <c r="A11" s="715" t="s">
        <v>409</v>
      </c>
      <c r="B11" s="1750">
        <f>'Revenues 9-14'!J5</f>
        <v>641955</v>
      </c>
      <c r="C11" s="585"/>
      <c r="D11" s="1753">
        <f t="shared" si="0"/>
        <v>641955</v>
      </c>
      <c r="E11" s="585">
        <v>643520</v>
      </c>
      <c r="F11" s="1753">
        <f t="shared" si="1"/>
        <v>643520</v>
      </c>
    </row>
    <row r="12" spans="1:6" ht="13.7" customHeight="1" x14ac:dyDescent="0.2">
      <c r="A12" s="715" t="s">
        <v>157</v>
      </c>
      <c r="B12" s="1750">
        <f>'Revenues 9-14'!K5</f>
        <v>137586</v>
      </c>
      <c r="C12" s="585"/>
      <c r="D12" s="1753">
        <f t="shared" si="0"/>
        <v>137586</v>
      </c>
      <c r="E12" s="585">
        <v>139999</v>
      </c>
      <c r="F12" s="1753">
        <f t="shared" si="1"/>
        <v>139999</v>
      </c>
    </row>
    <row r="13" spans="1:6" ht="13.7" customHeight="1" x14ac:dyDescent="0.2">
      <c r="A13" s="715" t="s">
        <v>936</v>
      </c>
      <c r="B13" s="1750">
        <f>SUM('Revenues 9-14'!C6:D6)</f>
        <v>137586</v>
      </c>
      <c r="C13" s="585"/>
      <c r="D13" s="1753">
        <f t="shared" si="0"/>
        <v>137586</v>
      </c>
      <c r="E13" s="585">
        <v>139999</v>
      </c>
      <c r="F13" s="1753">
        <f t="shared" si="1"/>
        <v>139999</v>
      </c>
    </row>
    <row r="14" spans="1:6" ht="13.7" customHeight="1" x14ac:dyDescent="0.2">
      <c r="A14" s="715" t="s">
        <v>410</v>
      </c>
      <c r="B14" s="1750">
        <f>SUM('Revenues 9-14'!C7:D7,'Revenues 9-14'!F7:H7)</f>
        <v>110070</v>
      </c>
      <c r="C14" s="585"/>
      <c r="D14" s="1753">
        <f t="shared" si="0"/>
        <v>110070</v>
      </c>
      <c r="E14" s="585">
        <v>111999</v>
      </c>
      <c r="F14" s="1753">
        <f t="shared" si="1"/>
        <v>111999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308526</v>
      </c>
      <c r="C16" s="585"/>
      <c r="D16" s="1753">
        <f t="shared" si="0"/>
        <v>308526</v>
      </c>
      <c r="E16" s="585">
        <v>306906</v>
      </c>
      <c r="F16" s="1753">
        <f t="shared" si="1"/>
        <v>306906</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10924968</v>
      </c>
      <c r="C19" s="1751">
        <f>SUM(C4:C18)</f>
        <v>0</v>
      </c>
      <c r="D19" s="1751">
        <f>SUM(D4:D18)</f>
        <v>10924968</v>
      </c>
      <c r="E19" s="1751">
        <f>SUM(E4:E18)</f>
        <v>11115660</v>
      </c>
      <c r="F19" s="1751">
        <f>SUM(F4:F18)</f>
        <v>11115660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 colorId="8" zoomScale="110" zoomScaleNormal="110" workbookViewId="0">
      <selection activeCell="I33" sqref="I33:I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21"/>
    </row>
    <row r="2" spans="1:7" ht="33.75" x14ac:dyDescent="0.2">
      <c r="A2" s="2209" t="s">
        <v>1799</v>
      </c>
      <c r="B2" s="2210"/>
      <c r="C2" s="1884" t="s">
        <v>1952</v>
      </c>
      <c r="D2" s="723" t="s">
        <v>1953</v>
      </c>
      <c r="E2" s="723" t="s">
        <v>1954</v>
      </c>
      <c r="F2" s="1884" t="s">
        <v>1955</v>
      </c>
    </row>
    <row r="3" spans="1:7" ht="15.75" customHeight="1" x14ac:dyDescent="0.2">
      <c r="A3" s="2211" t="s">
        <v>1114</v>
      </c>
      <c r="B3" s="2212"/>
      <c r="C3" s="2205"/>
      <c r="D3" s="2206"/>
      <c r="E3" s="2206"/>
      <c r="F3" s="2207"/>
    </row>
    <row r="4" spans="1:7" ht="12.75" customHeight="1" thickBot="1" x14ac:dyDescent="0.25">
      <c r="A4" s="2199" t="s">
        <v>630</v>
      </c>
      <c r="B4" s="2200"/>
      <c r="C4" s="581"/>
      <c r="D4" s="581"/>
      <c r="E4" s="581"/>
      <c r="F4" s="1755">
        <f>SUM(C4+D4)-E4</f>
        <v>0</v>
      </c>
    </row>
    <row r="5" spans="1:7" ht="15.75" customHeight="1" thickTop="1" x14ac:dyDescent="0.2">
      <c r="A5" s="2203" t="s">
        <v>1110</v>
      </c>
      <c r="B5" s="2198"/>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5" t="s">
        <v>631</v>
      </c>
      <c r="B15" s="2196"/>
      <c r="C15" s="1755">
        <f>SUM(C6:C14)</f>
        <v>0</v>
      </c>
      <c r="D15" s="1755">
        <f>SUM(D6:D14)</f>
        <v>0</v>
      </c>
      <c r="E15" s="1755">
        <f>SUM(E6:E14)</f>
        <v>0</v>
      </c>
      <c r="F15" s="1755">
        <f>SUM(F6:F14)</f>
        <v>0</v>
      </c>
      <c r="G15" s="552"/>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6"/>
      <c r="D17" s="585"/>
      <c r="E17" s="726"/>
      <c r="F17" s="1755">
        <f>SUM(C17+D17)-E17</f>
        <v>0</v>
      </c>
    </row>
    <row r="18" spans="1:11" ht="12.75" customHeight="1" thickTop="1" thickBot="1" x14ac:dyDescent="0.25">
      <c r="A18" s="2190" t="s">
        <v>6</v>
      </c>
      <c r="B18" s="2191"/>
      <c r="C18" s="726"/>
      <c r="D18" s="585"/>
      <c r="E18" s="726"/>
      <c r="F18" s="1755">
        <f>SUM(C18+D18)-E18</f>
        <v>0</v>
      </c>
    </row>
    <row r="19" spans="1:11" ht="12.75" customHeight="1" thickTop="1" thickBot="1" x14ac:dyDescent="0.25">
      <c r="A19" s="2190" t="s">
        <v>388</v>
      </c>
      <c r="B19" s="2191"/>
      <c r="C19" s="726"/>
      <c r="D19" s="585"/>
      <c r="E19" s="726"/>
      <c r="F19" s="1755">
        <f>SUM(C19+D19)-E19</f>
        <v>0</v>
      </c>
    </row>
    <row r="20" spans="1:11" ht="12.75" customHeight="1" thickTop="1" thickBot="1" x14ac:dyDescent="0.25">
      <c r="A20" s="2190" t="s">
        <v>448</v>
      </c>
      <c r="B20" s="2191"/>
      <c r="C20" s="726"/>
      <c r="D20" s="585"/>
      <c r="E20" s="726"/>
      <c r="F20" s="1755">
        <f>SUM(C20+D20)-E20</f>
        <v>0</v>
      </c>
    </row>
    <row r="21" spans="1:11" ht="14.25" thickTop="1" thickBot="1" x14ac:dyDescent="0.25">
      <c r="A21" s="2195" t="s">
        <v>632</v>
      </c>
      <c r="B21" s="2196"/>
      <c r="C21" s="1755">
        <f>SUM(C17:C20)</f>
        <v>0</v>
      </c>
      <c r="D21" s="1755">
        <f>SUM(D17:D20)</f>
        <v>0</v>
      </c>
      <c r="E21" s="1755">
        <f>SUM(E17:E20)</f>
        <v>0</v>
      </c>
      <c r="F21" s="1755">
        <f>SUM(F17:F20)</f>
        <v>0</v>
      </c>
      <c r="G21" s="552"/>
    </row>
    <row r="22" spans="1:11" ht="15.75" customHeight="1" thickTop="1" x14ac:dyDescent="0.2">
      <c r="A22" s="2197" t="s">
        <v>1112</v>
      </c>
      <c r="B22" s="2198"/>
      <c r="C22" s="2192"/>
      <c r="D22" s="2193"/>
      <c r="E22" s="2193"/>
      <c r="F22" s="2194"/>
    </row>
    <row r="23" spans="1:11" ht="13.5" thickBot="1" x14ac:dyDescent="0.25">
      <c r="A23" s="2199" t="s">
        <v>633</v>
      </c>
      <c r="B23" s="2200"/>
      <c r="C23" s="581"/>
      <c r="D23" s="581"/>
      <c r="E23" s="581"/>
      <c r="F23" s="1755">
        <f>SUM(C23+D23)-E23</f>
        <v>0</v>
      </c>
      <c r="G23" s="552"/>
    </row>
    <row r="24" spans="1:11" ht="15.75" customHeight="1" thickTop="1" x14ac:dyDescent="0.2">
      <c r="A24" s="2197" t="s">
        <v>1113</v>
      </c>
      <c r="B24" s="2198"/>
      <c r="C24" s="2192"/>
      <c r="D24" s="2193"/>
      <c r="E24" s="2193"/>
      <c r="F24" s="2194"/>
    </row>
    <row r="25" spans="1:11" ht="13.5" thickBot="1" x14ac:dyDescent="0.25">
      <c r="A25" s="2199" t="s">
        <v>634</v>
      </c>
      <c r="B25" s="2200"/>
      <c r="C25" s="581"/>
      <c r="D25" s="581"/>
      <c r="E25" s="581"/>
      <c r="F25" s="1755">
        <f>SUM(C25+D25)-E25</f>
        <v>0</v>
      </c>
      <c r="G25" s="552"/>
    </row>
    <row r="26" spans="1:11" ht="15.75" customHeight="1" thickTop="1" x14ac:dyDescent="0.2">
      <c r="A26" s="2203" t="s">
        <v>657</v>
      </c>
      <c r="B26" s="2198"/>
      <c r="C26" s="727"/>
      <c r="D26" s="727"/>
      <c r="E26" s="727"/>
      <c r="F26" s="728"/>
    </row>
    <row r="27" spans="1:11" ht="13.5" thickBot="1" x14ac:dyDescent="0.25">
      <c r="A27" s="2195" t="s">
        <v>1070</v>
      </c>
      <c r="B27" s="2196"/>
      <c r="C27" s="585"/>
      <c r="D27" s="585"/>
      <c r="E27" s="585"/>
      <c r="F27" s="1755">
        <f>SUM(C27+D27)-E27</f>
        <v>0</v>
      </c>
      <c r="G27" s="552"/>
    </row>
    <row r="28" spans="1:11" ht="7.5" customHeight="1" thickTop="1" x14ac:dyDescent="0.2">
      <c r="A28" s="593"/>
    </row>
    <row r="29" spans="1:11" ht="23.25" customHeight="1" x14ac:dyDescent="0.2">
      <c r="A29" s="2201" t="s">
        <v>582</v>
      </c>
      <c r="B29" s="2202"/>
      <c r="C29" s="729"/>
      <c r="D29" s="729"/>
      <c r="E29" s="729"/>
      <c r="F29" s="729"/>
      <c r="G29" s="729"/>
      <c r="H29" s="729"/>
      <c r="I29" s="729"/>
      <c r="J29" s="729"/>
    </row>
    <row r="30" spans="1:11" ht="33.75" x14ac:dyDescent="0.2">
      <c r="A30" s="1529" t="s">
        <v>1071</v>
      </c>
      <c r="B30" s="730" t="s">
        <v>1124</v>
      </c>
      <c r="C30" s="1885" t="s">
        <v>583</v>
      </c>
      <c r="D30" s="1885" t="s">
        <v>1673</v>
      </c>
      <c r="E30" s="1885" t="s">
        <v>1956</v>
      </c>
      <c r="F30" s="1885" t="s">
        <v>1957</v>
      </c>
      <c r="G30" s="1885" t="s">
        <v>1907</v>
      </c>
      <c r="H30" s="1885" t="s">
        <v>1958</v>
      </c>
      <c r="I30" s="1885" t="s">
        <v>1959</v>
      </c>
      <c r="J30" s="1886" t="s">
        <v>2</v>
      </c>
      <c r="K30" s="731"/>
    </row>
    <row r="31" spans="1:11" ht="12" customHeight="1" x14ac:dyDescent="0.2">
      <c r="A31" s="732" t="s">
        <v>2126</v>
      </c>
      <c r="B31" s="733">
        <v>38838</v>
      </c>
      <c r="C31" s="734">
        <v>4165000</v>
      </c>
      <c r="D31" s="735" t="s">
        <v>2129</v>
      </c>
      <c r="E31" s="734">
        <v>435000</v>
      </c>
      <c r="F31" s="734"/>
      <c r="G31" s="734"/>
      <c r="H31" s="734">
        <v>285000</v>
      </c>
      <c r="I31" s="1756">
        <f>((E31+F31)-H31)+G31</f>
        <v>150000</v>
      </c>
      <c r="J31" s="734">
        <v>150000</v>
      </c>
      <c r="K31" s="736"/>
    </row>
    <row r="32" spans="1:11" ht="12" customHeight="1" x14ac:dyDescent="0.2">
      <c r="A32" s="732" t="s">
        <v>2127</v>
      </c>
      <c r="B32" s="733">
        <v>41609</v>
      </c>
      <c r="C32" s="734">
        <v>9345000</v>
      </c>
      <c r="D32" s="735" t="s">
        <v>2130</v>
      </c>
      <c r="E32" s="734">
        <v>9345000</v>
      </c>
      <c r="F32" s="734"/>
      <c r="G32" s="734"/>
      <c r="H32" s="734"/>
      <c r="I32" s="1756">
        <f>((E32+F32)-H32)+G32</f>
        <v>9345000</v>
      </c>
      <c r="J32" s="734">
        <v>9345000</v>
      </c>
      <c r="K32" s="736"/>
    </row>
    <row r="33" spans="1:11" ht="12" customHeight="1" x14ac:dyDescent="0.2">
      <c r="A33" s="732" t="s">
        <v>2127</v>
      </c>
      <c r="B33" s="733">
        <v>41671</v>
      </c>
      <c r="C33" s="734">
        <v>7655000</v>
      </c>
      <c r="D33" s="735" t="s">
        <v>2130</v>
      </c>
      <c r="E33" s="734">
        <v>7655000</v>
      </c>
      <c r="F33" s="734"/>
      <c r="G33" s="734"/>
      <c r="H33" s="734">
        <v>30000</v>
      </c>
      <c r="I33" s="1756">
        <f t="shared" ref="I33:I48" si="1">((E33+F33)-H33)+G33</f>
        <v>7625000</v>
      </c>
      <c r="J33" s="734">
        <v>7625000</v>
      </c>
      <c r="K33" s="736"/>
    </row>
    <row r="34" spans="1:11" ht="12" customHeight="1" x14ac:dyDescent="0.2">
      <c r="A34" s="732" t="s">
        <v>2128</v>
      </c>
      <c r="B34" s="733">
        <v>41671</v>
      </c>
      <c r="C34" s="734">
        <v>8625000</v>
      </c>
      <c r="D34" s="735" t="s">
        <v>2130</v>
      </c>
      <c r="E34" s="734">
        <v>8625000</v>
      </c>
      <c r="F34" s="734"/>
      <c r="G34" s="734"/>
      <c r="H34" s="734"/>
      <c r="I34" s="1756">
        <f t="shared" si="1"/>
        <v>8625000</v>
      </c>
      <c r="J34" s="734">
        <v>8625000</v>
      </c>
      <c r="K34" s="737"/>
    </row>
    <row r="35" spans="1:11" ht="12" customHeight="1" x14ac:dyDescent="0.2">
      <c r="A35" s="732" t="s">
        <v>2132</v>
      </c>
      <c r="B35" s="733">
        <v>42412</v>
      </c>
      <c r="C35" s="738">
        <v>2190000</v>
      </c>
      <c r="D35" s="735" t="s">
        <v>2131</v>
      </c>
      <c r="E35" s="738">
        <v>1955000</v>
      </c>
      <c r="F35" s="738"/>
      <c r="G35" s="738"/>
      <c r="H35" s="738">
        <v>275000</v>
      </c>
      <c r="I35" s="1756">
        <f t="shared" si="1"/>
        <v>1680000</v>
      </c>
      <c r="J35" s="738">
        <v>1163012</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31980000</v>
      </c>
      <c r="D49" s="745"/>
      <c r="E49" s="1756">
        <f t="shared" ref="E49:J49" si="2">SUM(E31:E48)</f>
        <v>28015000</v>
      </c>
      <c r="F49" s="1756">
        <f t="shared" si="2"/>
        <v>0</v>
      </c>
      <c r="G49" s="1756">
        <f t="shared" si="2"/>
        <v>0</v>
      </c>
      <c r="H49" s="1756">
        <f t="shared" si="2"/>
        <v>590000</v>
      </c>
      <c r="I49" s="1756">
        <f t="shared" si="2"/>
        <v>27425000</v>
      </c>
      <c r="J49" s="1756">
        <f t="shared" si="2"/>
        <v>26908012</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84" t="s">
        <v>584</v>
      </c>
      <c r="C52" s="2185"/>
      <c r="D52" s="2185"/>
      <c r="E52" s="749" t="s">
        <v>845</v>
      </c>
      <c r="F52" s="2186"/>
      <c r="G52" s="2187"/>
      <c r="H52" s="736"/>
      <c r="I52" s="736"/>
      <c r="J52" s="746"/>
    </row>
    <row r="53" spans="1:11" ht="11.25" customHeight="1" x14ac:dyDescent="0.2">
      <c r="A53" s="750" t="s">
        <v>913</v>
      </c>
      <c r="B53" s="751" t="s">
        <v>951</v>
      </c>
      <c r="C53" s="746"/>
      <c r="D53" s="737"/>
      <c r="E53" s="749" t="s">
        <v>497</v>
      </c>
      <c r="F53" s="2188"/>
      <c r="G53" s="2189"/>
      <c r="H53" s="736"/>
      <c r="I53" s="736"/>
      <c r="J53" s="746"/>
    </row>
    <row r="54" spans="1:11" ht="11.25" customHeight="1" x14ac:dyDescent="0.2">
      <c r="A54" s="752" t="s">
        <v>914</v>
      </c>
      <c r="B54" s="747" t="s">
        <v>952</v>
      </c>
      <c r="C54" s="746"/>
      <c r="D54" s="737"/>
      <c r="E54" s="749" t="s">
        <v>498</v>
      </c>
      <c r="F54" s="2188"/>
      <c r="G54" s="218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F1"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30"/>
      <c r="I1" s="760"/>
      <c r="J1" s="433"/>
    </row>
    <row r="2" spans="1:11" ht="26.25" x14ac:dyDescent="0.2">
      <c r="A2" s="2232" t="s">
        <v>1677</v>
      </c>
      <c r="B2" s="2233"/>
      <c r="C2" s="2233"/>
      <c r="D2" s="2233"/>
      <c r="E2" s="2234"/>
      <c r="F2" s="761" t="s">
        <v>904</v>
      </c>
      <c r="G2" s="762" t="s">
        <v>1674</v>
      </c>
      <c r="H2" s="762" t="s">
        <v>410</v>
      </c>
      <c r="I2" s="762" t="s">
        <v>1158</v>
      </c>
      <c r="J2" s="762" t="s">
        <v>1809</v>
      </c>
      <c r="K2" s="762" t="s">
        <v>138</v>
      </c>
    </row>
    <row r="3" spans="1:11" x14ac:dyDescent="0.2">
      <c r="A3" s="2235" t="s">
        <v>1960</v>
      </c>
      <c r="B3" s="2236"/>
      <c r="C3" s="2236"/>
      <c r="D3" s="2236"/>
      <c r="E3" s="2237"/>
      <c r="F3" s="763"/>
      <c r="G3" s="764"/>
      <c r="H3" s="764">
        <v>0</v>
      </c>
      <c r="I3" s="764"/>
      <c r="J3" s="765">
        <v>0</v>
      </c>
      <c r="K3" s="765">
        <v>-450421</v>
      </c>
    </row>
    <row r="4" spans="1:11" x14ac:dyDescent="0.2">
      <c r="A4" s="2238" t="s">
        <v>369</v>
      </c>
      <c r="B4" s="2239"/>
      <c r="C4" s="2239"/>
      <c r="D4" s="2239"/>
      <c r="E4" s="2185"/>
      <c r="F4" s="766"/>
      <c r="G4" s="767"/>
      <c r="H4" s="768"/>
      <c r="I4" s="767"/>
      <c r="J4" s="769"/>
      <c r="K4" s="769"/>
    </row>
    <row r="5" spans="1:11" x14ac:dyDescent="0.2">
      <c r="A5" s="2216" t="s">
        <v>1069</v>
      </c>
      <c r="B5" s="2217"/>
      <c r="C5" s="2217"/>
      <c r="D5" s="2217"/>
      <c r="E5" s="2218"/>
      <c r="F5" s="770" t="s">
        <v>848</v>
      </c>
      <c r="G5" s="771"/>
      <c r="H5" s="764">
        <v>110070</v>
      </c>
      <c r="I5" s="772"/>
      <c r="J5" s="773"/>
      <c r="K5" s="773"/>
    </row>
    <row r="6" spans="1:11" x14ac:dyDescent="0.2">
      <c r="A6" s="774" t="s">
        <v>720</v>
      </c>
      <c r="B6" s="775"/>
      <c r="C6" s="775"/>
      <c r="D6" s="775"/>
      <c r="E6" s="776"/>
      <c r="F6" s="777" t="s">
        <v>849</v>
      </c>
      <c r="G6" s="764"/>
      <c r="H6" s="764"/>
      <c r="I6" s="764"/>
      <c r="J6" s="765">
        <v>1352</v>
      </c>
      <c r="K6" s="765"/>
    </row>
    <row r="7" spans="1:11" x14ac:dyDescent="0.2">
      <c r="A7" s="778" t="s">
        <v>246</v>
      </c>
      <c r="B7" s="779"/>
      <c r="C7" s="779"/>
      <c r="D7" s="779"/>
      <c r="E7" s="780"/>
      <c r="F7" s="770" t="s">
        <v>850</v>
      </c>
      <c r="G7" s="767"/>
      <c r="H7" s="767"/>
      <c r="I7" s="767"/>
      <c r="J7" s="781"/>
      <c r="K7" s="765">
        <v>5514</v>
      </c>
    </row>
    <row r="8" spans="1:11" x14ac:dyDescent="0.2">
      <c r="A8" s="778" t="s">
        <v>345</v>
      </c>
      <c r="B8" s="779"/>
      <c r="C8" s="779"/>
      <c r="D8" s="779"/>
      <c r="E8" s="780"/>
      <c r="F8" s="770" t="s">
        <v>851</v>
      </c>
      <c r="G8" s="782"/>
      <c r="H8" s="782"/>
      <c r="I8" s="782"/>
      <c r="J8" s="765">
        <v>1449789</v>
      </c>
      <c r="K8" s="769"/>
    </row>
    <row r="9" spans="1:11" x14ac:dyDescent="0.2">
      <c r="A9" s="778" t="s">
        <v>138</v>
      </c>
      <c r="B9" s="779"/>
      <c r="C9" s="779"/>
      <c r="D9" s="779"/>
      <c r="E9" s="780"/>
      <c r="F9" s="777" t="s">
        <v>853</v>
      </c>
      <c r="G9" s="782"/>
      <c r="H9" s="771"/>
      <c r="I9" s="771"/>
      <c r="J9" s="781"/>
      <c r="K9" s="765">
        <v>38687</v>
      </c>
    </row>
    <row r="10" spans="1:11" x14ac:dyDescent="0.2">
      <c r="A10" s="2216" t="s">
        <v>1810</v>
      </c>
      <c r="B10" s="2217"/>
      <c r="C10" s="2217"/>
      <c r="D10" s="2217"/>
      <c r="E10" s="2219"/>
      <c r="F10" s="783" t="s">
        <v>862</v>
      </c>
      <c r="G10" s="782"/>
      <c r="H10" s="784"/>
      <c r="I10" s="764"/>
      <c r="J10" s="765"/>
      <c r="K10" s="765"/>
    </row>
    <row r="11" spans="1:11" x14ac:dyDescent="0.2">
      <c r="A11" s="2216" t="s">
        <v>160</v>
      </c>
      <c r="B11" s="2217"/>
      <c r="C11" s="2217"/>
      <c r="D11" s="2217"/>
      <c r="E11" s="2218"/>
      <c r="F11" s="770" t="s">
        <v>852</v>
      </c>
      <c r="G11" s="771"/>
      <c r="H11" s="764"/>
      <c r="I11" s="764"/>
      <c r="J11" s="765"/>
      <c r="K11" s="773"/>
    </row>
    <row r="12" spans="1:11" ht="13.5" thickBot="1" x14ac:dyDescent="0.25">
      <c r="A12" s="2243" t="s">
        <v>905</v>
      </c>
      <c r="B12" s="2244"/>
      <c r="C12" s="2244"/>
      <c r="D12" s="2244"/>
      <c r="E12" s="2245"/>
      <c r="F12" s="1757"/>
      <c r="G12" s="1758">
        <f>SUM(G5:G11)</f>
        <v>0</v>
      </c>
      <c r="H12" s="1758">
        <f>SUM(H5:H11)</f>
        <v>110070</v>
      </c>
      <c r="I12" s="1758">
        <f>SUM(I5:I11)</f>
        <v>0</v>
      </c>
      <c r="J12" s="1758">
        <f>SUM(J5:J11)</f>
        <v>1451141</v>
      </c>
      <c r="K12" s="1758">
        <f>SUM(K5:K11)</f>
        <v>44201</v>
      </c>
    </row>
    <row r="13" spans="1:11" ht="13.5" thickTop="1" x14ac:dyDescent="0.2">
      <c r="A13" s="2240" t="s">
        <v>370</v>
      </c>
      <c r="B13" s="2241"/>
      <c r="C13" s="2241"/>
      <c r="D13" s="2241"/>
      <c r="E13" s="2242"/>
      <c r="F13" s="785"/>
      <c r="G13" s="786"/>
      <c r="H13" s="787"/>
      <c r="I13" s="788"/>
      <c r="J13" s="788"/>
      <c r="K13" s="788"/>
    </row>
    <row r="14" spans="1:11" x14ac:dyDescent="0.2">
      <c r="A14" s="2223" t="s">
        <v>456</v>
      </c>
      <c r="B14" s="2223"/>
      <c r="C14" s="2223"/>
      <c r="D14" s="2223"/>
      <c r="E14" s="2224"/>
      <c r="F14" s="789" t="s">
        <v>854</v>
      </c>
      <c r="G14" s="782"/>
      <c r="H14" s="764">
        <v>110070</v>
      </c>
      <c r="I14" s="771"/>
      <c r="J14" s="773"/>
      <c r="K14" s="765"/>
    </row>
    <row r="15" spans="1:11" x14ac:dyDescent="0.2">
      <c r="A15" s="2217" t="s">
        <v>4</v>
      </c>
      <c r="B15" s="2217"/>
      <c r="C15" s="2217"/>
      <c r="D15" s="2217"/>
      <c r="E15" s="2218"/>
      <c r="F15" s="789" t="s">
        <v>855</v>
      </c>
      <c r="G15" s="771"/>
      <c r="H15" s="764"/>
      <c r="I15" s="764"/>
      <c r="J15" s="765"/>
      <c r="K15" s="765"/>
    </row>
    <row r="16" spans="1:11" x14ac:dyDescent="0.2">
      <c r="A16" s="2217" t="s">
        <v>298</v>
      </c>
      <c r="B16" s="2217"/>
      <c r="C16" s="2217"/>
      <c r="D16" s="2217"/>
      <c r="E16" s="2218"/>
      <c r="F16" s="789" t="s">
        <v>923</v>
      </c>
      <c r="G16" s="772"/>
      <c r="H16" s="767"/>
      <c r="I16" s="767"/>
      <c r="J16" s="769"/>
      <c r="K16" s="769"/>
    </row>
    <row r="17" spans="1:11" x14ac:dyDescent="0.2">
      <c r="A17" s="2248" t="s">
        <v>935</v>
      </c>
      <c r="B17" s="2248"/>
      <c r="C17" s="2248"/>
      <c r="D17" s="2248"/>
      <c r="E17" s="2249"/>
      <c r="F17" s="790"/>
      <c r="G17" s="791"/>
      <c r="H17" s="792"/>
      <c r="I17" s="792"/>
      <c r="J17" s="793"/>
      <c r="K17" s="794"/>
    </row>
    <row r="18" spans="1:11" x14ac:dyDescent="0.2">
      <c r="A18" s="2227" t="s">
        <v>368</v>
      </c>
      <c r="B18" s="2228"/>
      <c r="C18" s="2228"/>
      <c r="D18" s="2228"/>
      <c r="E18" s="2229"/>
      <c r="F18" s="789" t="s">
        <v>932</v>
      </c>
      <c r="G18" s="782"/>
      <c r="H18" s="782"/>
      <c r="I18" s="782"/>
      <c r="J18" s="765">
        <f>859789+1352</f>
        <v>861141</v>
      </c>
      <c r="K18" s="795"/>
    </row>
    <row r="19" spans="1:11" ht="21.75" customHeight="1" x14ac:dyDescent="0.2">
      <c r="A19" s="2225" t="s">
        <v>1806</v>
      </c>
      <c r="B19" s="2225"/>
      <c r="C19" s="2225"/>
      <c r="D19" s="2225"/>
      <c r="E19" s="2226"/>
      <c r="F19" s="789" t="s">
        <v>933</v>
      </c>
      <c r="G19" s="782"/>
      <c r="H19" s="782"/>
      <c r="I19" s="782"/>
      <c r="J19" s="765">
        <v>590000</v>
      </c>
      <c r="K19" s="795"/>
    </row>
    <row r="20" spans="1:11" x14ac:dyDescent="0.2">
      <c r="A20" s="2227" t="s">
        <v>1811</v>
      </c>
      <c r="B20" s="2228"/>
      <c r="C20" s="2228"/>
      <c r="D20" s="2228"/>
      <c r="E20" s="2229"/>
      <c r="F20" s="789" t="s">
        <v>934</v>
      </c>
      <c r="G20" s="782"/>
      <c r="H20" s="782"/>
      <c r="I20" s="782"/>
      <c r="J20" s="765"/>
      <c r="K20" s="795"/>
    </row>
    <row r="21" spans="1:11" ht="13.5" thickBot="1" x14ac:dyDescent="0.25">
      <c r="A21" s="2246" t="s">
        <v>638</v>
      </c>
      <c r="B21" s="2246"/>
      <c r="C21" s="2246"/>
      <c r="D21" s="2246"/>
      <c r="E21" s="2246"/>
      <c r="F21" s="1759"/>
      <c r="G21" s="792"/>
      <c r="H21" s="796"/>
      <c r="I21" s="796"/>
      <c r="J21" s="1760">
        <f>SUM(J18:J20)</f>
        <v>1451141</v>
      </c>
      <c r="K21" s="793"/>
    </row>
    <row r="22" spans="1:11" ht="13.5" thickTop="1" x14ac:dyDescent="0.2">
      <c r="A22" s="2217" t="s">
        <v>1812</v>
      </c>
      <c r="B22" s="2217"/>
      <c r="C22" s="2217"/>
      <c r="D22" s="2217"/>
      <c r="E22" s="2218"/>
      <c r="F22" s="789" t="s">
        <v>862</v>
      </c>
      <c r="G22" s="782"/>
      <c r="H22" s="764"/>
      <c r="I22" s="764"/>
      <c r="J22" s="797"/>
      <c r="K22" s="765">
        <v>99070</v>
      </c>
    </row>
    <row r="23" spans="1:11" ht="13.5" thickBot="1" x14ac:dyDescent="0.25">
      <c r="A23" s="2247" t="s">
        <v>906</v>
      </c>
      <c r="B23" s="2246"/>
      <c r="C23" s="2246"/>
      <c r="D23" s="2246"/>
      <c r="E23" s="2246"/>
      <c r="F23" s="1761"/>
      <c r="G23" s="1758">
        <f>SUM(G14:G16,G21,G22)</f>
        <v>0</v>
      </c>
      <c r="H23" s="1758">
        <f>SUM(H14:H16,H21,H22)</f>
        <v>110070</v>
      </c>
      <c r="I23" s="1758">
        <f>SUM(I14:I16,I21,I22)</f>
        <v>0</v>
      </c>
      <c r="J23" s="1758">
        <f>SUM(J14:J16,J21,J22)</f>
        <v>1451141</v>
      </c>
      <c r="K23" s="1758">
        <f>SUM(K14:K16,K21,K22)</f>
        <v>99070</v>
      </c>
    </row>
    <row r="24" spans="1:11" ht="14.25" thickTop="1" thickBot="1" x14ac:dyDescent="0.25">
      <c r="A24" s="2247" t="s">
        <v>1961</v>
      </c>
      <c r="B24" s="2246"/>
      <c r="C24" s="2246"/>
      <c r="D24" s="2246"/>
      <c r="E24" s="2246"/>
      <c r="F24" s="1762"/>
      <c r="G24" s="1763">
        <f>SUM(G3,G12)-G23</f>
        <v>0</v>
      </c>
      <c r="H24" s="1763">
        <f>SUM(H3,H12)-H23</f>
        <v>0</v>
      </c>
      <c r="I24" s="1763">
        <f>SUM(I3,I12)-I23</f>
        <v>0</v>
      </c>
      <c r="J24" s="1763">
        <f>SUM(J3,J12)-J23</f>
        <v>0</v>
      </c>
      <c r="K24" s="1763">
        <f>SUM(K3,K12)-K23</f>
        <v>-505290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-505290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2061</v>
      </c>
      <c r="E30" s="808" t="s">
        <v>768</v>
      </c>
      <c r="F30" s="202"/>
      <c r="G30" s="805"/>
    </row>
    <row r="31" spans="1:11" x14ac:dyDescent="0.2">
      <c r="A31" s="809"/>
      <c r="D31" s="237"/>
      <c r="E31" s="810" t="s">
        <v>769</v>
      </c>
      <c r="F31" s="811" t="s">
        <v>539</v>
      </c>
      <c r="G31" s="764"/>
      <c r="H31" s="2220"/>
      <c r="I31" s="2221"/>
      <c r="J31" s="2221"/>
      <c r="K31" s="2221"/>
    </row>
    <row r="32" spans="1:11" x14ac:dyDescent="0.2">
      <c r="A32" s="809"/>
      <c r="B32" s="237"/>
      <c r="C32" s="237"/>
      <c r="D32" s="237"/>
      <c r="E32" s="805"/>
      <c r="F32" s="811" t="s">
        <v>540</v>
      </c>
      <c r="G32" s="764"/>
      <c r="H32" s="2222"/>
      <c r="I32" s="2221"/>
      <c r="J32" s="2221"/>
      <c r="K32" s="2221"/>
    </row>
    <row r="33" spans="1:11" ht="1.5" customHeight="1" x14ac:dyDescent="0.2">
      <c r="A33" s="812" t="s">
        <v>1169</v>
      </c>
      <c r="B33" s="364"/>
      <c r="C33" s="364"/>
      <c r="D33" s="364"/>
      <c r="E33" s="364"/>
      <c r="F33" s="364"/>
      <c r="G33" s="813"/>
      <c r="H33" s="2222"/>
      <c r="I33" s="2221"/>
      <c r="J33" s="2221"/>
      <c r="K33" s="2221"/>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E1"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1905</v>
      </c>
      <c r="B1" s="2253"/>
      <c r="C1" s="2254"/>
      <c r="D1" s="826"/>
      <c r="E1" s="827"/>
      <c r="F1" s="827"/>
      <c r="G1" s="828"/>
      <c r="H1" s="829"/>
      <c r="I1" s="830"/>
      <c r="J1" s="2250"/>
      <c r="K1" s="2251"/>
      <c r="L1" s="2251"/>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411741</v>
      </c>
      <c r="D5" s="841"/>
      <c r="E5" s="841"/>
      <c r="F5" s="1760">
        <f>(C5+D5)-E5</f>
        <v>411741</v>
      </c>
      <c r="G5" s="837"/>
      <c r="H5" s="842"/>
      <c r="I5" s="842"/>
      <c r="J5" s="842"/>
      <c r="K5" s="793"/>
      <c r="L5" s="1769">
        <f>F5-K5</f>
        <v>411741</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49840152</v>
      </c>
      <c r="D8" s="844"/>
      <c r="E8" s="844"/>
      <c r="F8" s="1760">
        <f>(C8+D8)-E8</f>
        <v>49840152</v>
      </c>
      <c r="G8" s="843">
        <v>50</v>
      </c>
      <c r="H8" s="765">
        <v>14101666</v>
      </c>
      <c r="I8" s="765">
        <v>1038418</v>
      </c>
      <c r="J8" s="765"/>
      <c r="K8" s="1769">
        <f>(H8+I8)-J8</f>
        <v>15140084</v>
      </c>
      <c r="L8" s="1769">
        <f>F8-K8</f>
        <v>34700068</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2422261</v>
      </c>
      <c r="D10" s="846">
        <v>5657</v>
      </c>
      <c r="E10" s="846"/>
      <c r="F10" s="1764">
        <f>(C10+D10)-E10</f>
        <v>2427918</v>
      </c>
      <c r="G10" s="843">
        <v>20</v>
      </c>
      <c r="H10" s="847">
        <v>1033446</v>
      </c>
      <c r="I10" s="847">
        <v>170232</v>
      </c>
      <c r="J10" s="847"/>
      <c r="K10" s="1769">
        <f>(H10+I10)-J10</f>
        <v>1203678</v>
      </c>
      <c r="L10" s="1769">
        <f>F10-K10</f>
        <v>1224240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5961773</v>
      </c>
      <c r="D12" s="844">
        <v>104311</v>
      </c>
      <c r="E12" s="844"/>
      <c r="F12" s="1760">
        <f>(C12+D12)-E12</f>
        <v>6066084</v>
      </c>
      <c r="G12" s="843">
        <v>10</v>
      </c>
      <c r="H12" s="765">
        <v>5318388</v>
      </c>
      <c r="I12" s="765">
        <v>104097</v>
      </c>
      <c r="J12" s="765"/>
      <c r="K12" s="1769">
        <f>(H12+I12)-J12</f>
        <v>5422485</v>
      </c>
      <c r="L12" s="1769">
        <f>F12-K12</f>
        <v>643599</v>
      </c>
    </row>
    <row r="13" spans="1:14" ht="14.25" thickTop="1" thickBot="1" x14ac:dyDescent="0.25">
      <c r="A13" s="848" t="s">
        <v>1122</v>
      </c>
      <c r="B13" s="840">
        <v>252</v>
      </c>
      <c r="C13" s="844">
        <v>234040</v>
      </c>
      <c r="D13" s="844"/>
      <c r="E13" s="844"/>
      <c r="F13" s="1760">
        <f>(C13+D13)-E13</f>
        <v>234040</v>
      </c>
      <c r="G13" s="843">
        <v>5</v>
      </c>
      <c r="H13" s="765">
        <v>234040</v>
      </c>
      <c r="I13" s="765"/>
      <c r="J13" s="765"/>
      <c r="K13" s="1769">
        <f>(H13+I13)-J13</f>
        <v>234040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58869967</v>
      </c>
      <c r="D16" s="1760">
        <f>SUM(D3,D5:D6,D8:D10,D12:D15)</f>
        <v>109968</v>
      </c>
      <c r="E16" s="1760">
        <f>SUM(E3,E5:E6,E8:E10,E12:E15)</f>
        <v>0</v>
      </c>
      <c r="F16" s="1760">
        <f>SUM(F3,F5:F6,F8:F10,F12:F15)</f>
        <v>58979935</v>
      </c>
      <c r="G16" s="843"/>
      <c r="H16" s="1760">
        <f>SUM(H3,H6,H8:H10,H12:H14,)</f>
        <v>20687540</v>
      </c>
      <c r="I16" s="1760">
        <f>SUM(I3,I6,I8:I10,I12:I14,)</f>
        <v>1312747</v>
      </c>
      <c r="J16" s="1760">
        <f>SUM(J3,J6,J8:J10,J12:J14,)</f>
        <v>0</v>
      </c>
      <c r="K16" s="1760">
        <f>(H16+I16)-J16</f>
        <v>22000287</v>
      </c>
      <c r="L16" s="1760">
        <f>F16-K16</f>
        <v>36979648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1312747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1971</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17029035</v>
      </c>
      <c r="G8" s="865"/>
    </row>
    <row r="9" spans="1:7" x14ac:dyDescent="0.2">
      <c r="A9" s="869" t="s">
        <v>460</v>
      </c>
      <c r="B9" s="870" t="s">
        <v>1873</v>
      </c>
      <c r="C9" s="871"/>
      <c r="D9" s="869" t="s">
        <v>501</v>
      </c>
      <c r="E9" s="868"/>
      <c r="F9" s="1909">
        <f>'Expenditures 15-22'!K151</f>
        <v>1401750</v>
      </c>
      <c r="G9" s="872"/>
    </row>
    <row r="10" spans="1:7" x14ac:dyDescent="0.2">
      <c r="A10" s="869" t="s">
        <v>499</v>
      </c>
      <c r="B10" s="870" t="s">
        <v>1874</v>
      </c>
      <c r="C10" s="871"/>
      <c r="D10" s="869" t="s">
        <v>501</v>
      </c>
      <c r="E10" s="868"/>
      <c r="F10" s="1909">
        <f>'Expenditures 15-22'!K174</f>
        <v>1909249</v>
      </c>
      <c r="G10" s="872"/>
    </row>
    <row r="11" spans="1:7" x14ac:dyDescent="0.2">
      <c r="A11" s="869" t="s">
        <v>461</v>
      </c>
      <c r="B11" s="870" t="s">
        <v>1875</v>
      </c>
      <c r="C11" s="871"/>
      <c r="D11" s="869" t="s">
        <v>501</v>
      </c>
      <c r="E11" s="868"/>
      <c r="F11" s="1909">
        <f>'Expenditures 15-22'!K210</f>
        <v>1218755</v>
      </c>
      <c r="G11" s="872"/>
    </row>
    <row r="12" spans="1:7" x14ac:dyDescent="0.2">
      <c r="A12" s="869" t="s">
        <v>462</v>
      </c>
      <c r="B12" s="870" t="s">
        <v>1876</v>
      </c>
      <c r="C12" s="871"/>
      <c r="D12" s="869" t="s">
        <v>501</v>
      </c>
      <c r="E12" s="868"/>
      <c r="F12" s="1909">
        <f>'Expenditures 15-22'!K295</f>
        <v>632137</v>
      </c>
      <c r="G12" s="872"/>
    </row>
    <row r="13" spans="1:7" x14ac:dyDescent="0.2">
      <c r="A13" s="869" t="s">
        <v>106</v>
      </c>
      <c r="B13" s="870" t="s">
        <v>1877</v>
      </c>
      <c r="C13" s="871"/>
      <c r="D13" s="869" t="s">
        <v>501</v>
      </c>
      <c r="E13" s="868"/>
      <c r="F13" s="1909">
        <f>'Expenditures 15-22'!K342</f>
        <v>642763</v>
      </c>
      <c r="G13" s="873"/>
    </row>
    <row r="14" spans="1:7" ht="12" customHeight="1" thickBot="1" x14ac:dyDescent="0.25">
      <c r="A14" s="1770"/>
      <c r="B14" s="1771"/>
      <c r="C14" s="1772"/>
      <c r="D14" s="1773" t="s">
        <v>501</v>
      </c>
      <c r="E14" s="1774" t="s">
        <v>958</v>
      </c>
      <c r="F14" s="1775">
        <f>SUM(F8:F13)</f>
        <v>22833689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4">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1998</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91272</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7421</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171688</v>
      </c>
      <c r="G52" s="865"/>
    </row>
    <row r="53" spans="1:7" x14ac:dyDescent="0.2">
      <c r="A53" s="869" t="s">
        <v>459</v>
      </c>
      <c r="B53" s="869" t="s">
        <v>1475</v>
      </c>
      <c r="C53" s="889">
        <f>'Expenditures 15-22'!B102</f>
        <v>4000</v>
      </c>
      <c r="D53" s="888" t="str">
        <f>'Expenditures 15-22'!A102</f>
        <v>Total Payments to Other Govt Units</v>
      </c>
      <c r="E53" s="868"/>
      <c r="F53" s="1913">
        <f>'Expenditures 15-22'!K102</f>
        <v>794929</v>
      </c>
      <c r="G53" s="865"/>
    </row>
    <row r="54" spans="1:7" x14ac:dyDescent="0.2">
      <c r="A54" s="869" t="s">
        <v>459</v>
      </c>
      <c r="B54" s="869" t="s">
        <v>1476</v>
      </c>
      <c r="C54" s="889" t="s">
        <v>982</v>
      </c>
      <c r="D54" s="885" t="s">
        <v>1095</v>
      </c>
      <c r="E54" s="868"/>
      <c r="F54" s="1913">
        <f>'Expenditures 15-22'!G114</f>
        <v>151544</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3032</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590000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288846</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3696</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95</v>
      </c>
      <c r="G71" s="865"/>
    </row>
    <row r="72" spans="1:8" x14ac:dyDescent="0.2">
      <c r="A72" s="869" t="s">
        <v>462</v>
      </c>
      <c r="B72" s="869" t="s">
        <v>1892</v>
      </c>
      <c r="C72" s="886">
        <f>'Expenditures 15-22'!B280</f>
        <v>3000</v>
      </c>
      <c r="D72" s="876" t="s">
        <v>449</v>
      </c>
      <c r="E72" s="868"/>
      <c r="F72" s="1913">
        <f>'Expenditures 15-22'!K280</f>
        <v>19582</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2122105</v>
      </c>
      <c r="G76" s="865"/>
    </row>
    <row r="77" spans="1:8" s="893" customFormat="1" ht="12" customHeight="1" thickTop="1" thickBot="1" x14ac:dyDescent="0.25">
      <c r="A77" s="1779"/>
      <c r="B77" s="1776"/>
      <c r="C77" s="1772"/>
      <c r="D77" s="1777" t="s">
        <v>1896</v>
      </c>
      <c r="E77" s="1774"/>
      <c r="F77" s="1780">
        <f>(F14-F76)</f>
        <v>20711584</v>
      </c>
      <c r="G77" s="869"/>
    </row>
    <row r="78" spans="1:8" s="893" customFormat="1" ht="12" customHeight="1" thickTop="1" x14ac:dyDescent="0.2">
      <c r="A78" s="1781"/>
      <c r="B78" s="1776"/>
      <c r="C78" s="1772"/>
      <c r="D78" s="1777" t="s">
        <v>2058</v>
      </c>
      <c r="E78" s="1774"/>
      <c r="F78" s="898">
        <v>2279.6</v>
      </c>
      <c r="G78" s="899"/>
      <c r="H78" s="869"/>
    </row>
    <row r="79" spans="1:8" s="893" customFormat="1" ht="12" customHeight="1" thickBot="1" x14ac:dyDescent="0.25">
      <c r="A79" s="1782"/>
      <c r="B79" s="1776"/>
      <c r="C79" s="1772"/>
      <c r="D79" s="1777" t="s">
        <v>1897</v>
      </c>
      <c r="E79" s="1774" t="s">
        <v>958</v>
      </c>
      <c r="F79" s="1783">
        <f>IF(F78&gt;0,F77/F78," Complete Line 78")</f>
        <v>9085.6220389542032</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612</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10175</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708638</v>
      </c>
      <c r="G94" s="912"/>
    </row>
    <row r="95" spans="1:7" x14ac:dyDescent="0.2">
      <c r="A95" s="908" t="s">
        <v>140</v>
      </c>
      <c r="B95" s="908" t="s">
        <v>175</v>
      </c>
      <c r="C95" s="910">
        <v>1700</v>
      </c>
      <c r="D95" s="918" t="str">
        <f>'Revenues 9-14'!A82</f>
        <v>Total District/School Activity Income</v>
      </c>
      <c r="E95" s="906"/>
      <c r="F95" s="1789">
        <f>SUM('Revenues 9-14'!C82,'Revenues 9-14'!D82)</f>
        <v>105012</v>
      </c>
      <c r="G95" s="912"/>
    </row>
    <row r="96" spans="1:7" x14ac:dyDescent="0.2">
      <c r="A96" s="908" t="s">
        <v>459</v>
      </c>
      <c r="B96" s="908" t="s">
        <v>176</v>
      </c>
      <c r="C96" s="910">
        <f>'Revenues 9-14'!B84</f>
        <v>1811</v>
      </c>
      <c r="D96" s="911" t="str">
        <f>'Revenues 9-14'!A84</f>
        <v>Rentals - Regular Textbooks</v>
      </c>
      <c r="E96" s="906"/>
      <c r="F96" s="1789">
        <f>'Revenues 9-14'!C84</f>
        <v>187100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23783</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1999</v>
      </c>
      <c r="C105" s="913">
        <v>3100</v>
      </c>
      <c r="D105" s="919" t="str">
        <f>'Revenues 9-14'!A132</f>
        <v>Total Special Education</v>
      </c>
      <c r="E105" s="906"/>
      <c r="F105" s="1789">
        <f>SUM('Revenues 9-14'!C132:D132,'Revenues 9-14'!F132)</f>
        <v>952</v>
      </c>
      <c r="G105" s="912"/>
    </row>
    <row r="106" spans="1:7" x14ac:dyDescent="0.2">
      <c r="A106" s="908" t="s">
        <v>673</v>
      </c>
      <c r="B106" s="908" t="s">
        <v>2000</v>
      </c>
      <c r="C106" s="920">
        <v>3200</v>
      </c>
      <c r="D106" s="911" t="str">
        <f>'Revenues 9-14'!A141</f>
        <v>Total Career and Technical Education</v>
      </c>
      <c r="E106" s="906"/>
      <c r="F106" s="1789">
        <f>SUM('Revenues 9-14'!C141,'Revenues 9-14'!D141,'Revenues 9-14'!G141)</f>
        <v>22044</v>
      </c>
      <c r="G106" s="912"/>
    </row>
    <row r="107" spans="1:7" x14ac:dyDescent="0.2">
      <c r="A107" s="921" t="s">
        <v>664</v>
      </c>
      <c r="B107" s="908" t="s">
        <v>2001</v>
      </c>
      <c r="C107" s="920">
        <v>3300</v>
      </c>
      <c r="D107" s="911" t="str">
        <f>'Revenues 9-14'!A145</f>
        <v>Total Bilingual Ed</v>
      </c>
      <c r="E107" s="906"/>
      <c r="F107" s="1789">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9">
        <f>'Revenues 9-14'!C146</f>
        <v>1877</v>
      </c>
      <c r="G108" s="912"/>
    </row>
    <row r="109" spans="1:7" x14ac:dyDescent="0.2">
      <c r="A109" s="908" t="s">
        <v>673</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38687</v>
      </c>
      <c r="G110" s="912"/>
    </row>
    <row r="111" spans="1:7" x14ac:dyDescent="0.2">
      <c r="A111" s="908" t="s">
        <v>668</v>
      </c>
      <c r="B111" s="908" t="s">
        <v>2005</v>
      </c>
      <c r="C111" s="922">
        <v>3500</v>
      </c>
      <c r="D111" s="911" t="str">
        <f>'Revenues 9-14'!A155</f>
        <v>Total Transportation</v>
      </c>
      <c r="E111" s="906"/>
      <c r="F111" s="1789">
        <f>SUM('Revenues 9-14'!C155,'Revenues 9-14'!D155,'Revenues 9-14'!F155,'Revenues 9-14'!G155)</f>
        <v>660877</v>
      </c>
      <c r="G111" s="912"/>
    </row>
    <row r="112" spans="1:7" x14ac:dyDescent="0.2">
      <c r="A112" s="908" t="s">
        <v>459</v>
      </c>
      <c r="B112" s="908" t="s">
        <v>2006</v>
      </c>
      <c r="C112" s="920">
        <f>'Revenues 9-14'!B156</f>
        <v>3610</v>
      </c>
      <c r="D112" s="911" t="str">
        <f>'Revenues 9-14'!A156</f>
        <v>Learning Improvement - Change Grants</v>
      </c>
      <c r="E112" s="906"/>
      <c r="F112" s="1789">
        <f>'Revenues 9-14'!C156</f>
        <v>0</v>
      </c>
      <c r="G112" s="912"/>
    </row>
    <row r="113" spans="1:7" x14ac:dyDescent="0.2">
      <c r="A113" s="908" t="s">
        <v>668</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7">
        <f>SUM('Revenues 9-14'!C163:G163)</f>
        <v>0</v>
      </c>
      <c r="G118" s="912"/>
    </row>
    <row r="119" spans="1:7" x14ac:dyDescent="0.2">
      <c r="A119" s="923" t="s">
        <v>504</v>
      </c>
      <c r="B119" s="923" t="s">
        <v>2013</v>
      </c>
      <c r="C119" s="924">
        <f>'Revenues 9-14'!B164</f>
        <v>3815</v>
      </c>
      <c r="D119" s="925" t="str">
        <f>'Revenues 9-14'!A164</f>
        <v>State Charter Schools</v>
      </c>
      <c r="E119" s="906"/>
      <c r="F119" s="1907">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9">
        <f>'Revenues 9-14'!D167</f>
        <v>0</v>
      </c>
      <c r="G120" s="930"/>
    </row>
    <row r="121" spans="1:7" x14ac:dyDescent="0.2">
      <c r="A121" s="927" t="s">
        <v>500</v>
      </c>
      <c r="B121" s="927" t="s">
        <v>2015</v>
      </c>
      <c r="C121" s="928">
        <f>'Revenues 9-14'!B168</f>
        <v>3999</v>
      </c>
      <c r="D121" s="929" t="s">
        <v>543</v>
      </c>
      <c r="E121" s="931"/>
      <c r="F121" s="1789">
        <f>SUM('Revenues 9-14'!C168:G168,'Revenues 9-14'!J168)</f>
        <v>4889</v>
      </c>
      <c r="G121" s="930"/>
    </row>
    <row r="122" spans="1:7" x14ac:dyDescent="0.2">
      <c r="A122" s="927" t="s">
        <v>459</v>
      </c>
      <c r="B122" s="927" t="s">
        <v>2016</v>
      </c>
      <c r="C122" s="932">
        <f>'Revenues 9-14'!B177</f>
        <v>4045</v>
      </c>
      <c r="D122" s="929" t="str">
        <f>'Revenues 9-14'!A177 &amp; " (Subtract)"</f>
        <v>Head Start (Subtract)</v>
      </c>
      <c r="E122" s="906"/>
      <c r="F122" s="1789">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2018</v>
      </c>
      <c r="C124" s="932">
        <v>4100</v>
      </c>
      <c r="D124" s="933" t="str">
        <f>'Revenues 9-14'!A188</f>
        <v>Total Title V</v>
      </c>
      <c r="E124" s="906"/>
      <c r="F124" s="1789">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9">
        <f>SUM('Revenues 9-14'!C198,'Revenues 9-14'!G198)</f>
        <v>244838</v>
      </c>
      <c r="G125" s="930"/>
    </row>
    <row r="126" spans="1:7" x14ac:dyDescent="0.2">
      <c r="A126" s="927" t="s">
        <v>668</v>
      </c>
      <c r="B126" s="927" t="s">
        <v>2020</v>
      </c>
      <c r="C126" s="932">
        <v>4300</v>
      </c>
      <c r="D126" s="933" t="str">
        <f>'Revenues 9-14'!A204</f>
        <v>Total Title I</v>
      </c>
      <c r="E126" s="906"/>
      <c r="F126" s="1789">
        <f>SUM('Revenues 9-14'!C204,'Revenues 9-14'!D204,'Revenues 9-14'!F204,'Revenues 9-14'!G204)</f>
        <v>159950</v>
      </c>
      <c r="G126" s="930"/>
    </row>
    <row r="127" spans="1:7" x14ac:dyDescent="0.2">
      <c r="A127" s="927" t="s">
        <v>668</v>
      </c>
      <c r="B127" s="927" t="s">
        <v>2021</v>
      </c>
      <c r="C127" s="932">
        <v>4400</v>
      </c>
      <c r="D127" s="933" t="str">
        <f>'Revenues 9-14'!A209</f>
        <v>Total Title IV</v>
      </c>
      <c r="E127" s="906"/>
      <c r="F127" s="1789">
        <f>SUM('Revenues 9-14'!C209,'Revenues 9-14'!D209,'Revenues 9-14'!F209,'Revenues 9-14'!G209)</f>
        <v>23878</v>
      </c>
      <c r="G127" s="930"/>
    </row>
    <row r="128" spans="1:7" x14ac:dyDescent="0.2">
      <c r="A128" s="927" t="s">
        <v>668</v>
      </c>
      <c r="B128" s="927" t="s">
        <v>2022</v>
      </c>
      <c r="C128" s="932">
        <f>'Revenues 9-14'!B213</f>
        <v>4620</v>
      </c>
      <c r="D128" s="933" t="str">
        <f>'Revenues 9-14'!A213</f>
        <v>Fed - Spec Education - IDEA - Flow Through</v>
      </c>
      <c r="E128" s="906"/>
      <c r="F128" s="1789">
        <f>SUM('Revenues 9-14'!C213:D213,'Revenues 9-14'!F213:G213)</f>
        <v>395029</v>
      </c>
      <c r="G128" s="930"/>
    </row>
    <row r="129" spans="1:7" x14ac:dyDescent="0.2">
      <c r="A129" s="927" t="s">
        <v>668</v>
      </c>
      <c r="B129" s="927" t="s">
        <v>2023</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2040</v>
      </c>
      <c r="C157" s="940" t="s">
        <v>841</v>
      </c>
      <c r="D157" s="941" t="s">
        <v>777</v>
      </c>
      <c r="E157" s="942"/>
      <c r="F157" s="1789">
        <f>SUM(F133:F156)</f>
        <v>0</v>
      </c>
      <c r="G157" s="905"/>
    </row>
    <row r="158" spans="1:7" s="867" customFormat="1" x14ac:dyDescent="0.2">
      <c r="A158" s="938" t="s">
        <v>459</v>
      </c>
      <c r="B158" s="939" t="s">
        <v>2041</v>
      </c>
      <c r="C158" s="940" t="s">
        <v>1427</v>
      </c>
      <c r="D158" s="941" t="s">
        <v>1428</v>
      </c>
      <c r="E158" s="942"/>
      <c r="F158" s="1789">
        <f>SUM('Revenues 9-14'!C253)</f>
        <v>0</v>
      </c>
      <c r="G158" s="905"/>
    </row>
    <row r="159" spans="1:7" s="867" customFormat="1" x14ac:dyDescent="0.2">
      <c r="A159" s="938" t="s">
        <v>500</v>
      </c>
      <c r="B159" s="939" t="s">
        <v>2042</v>
      </c>
      <c r="C159" s="940" t="s">
        <v>1466</v>
      </c>
      <c r="D159" s="941" t="s">
        <v>1467</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7">
        <f>SUM('Revenues 9-14'!C259,'Revenues 9-14'!D259,'Revenues 9-14'!F259,'Revenues 9-14'!G259)</f>
        <v>52895</v>
      </c>
      <c r="G164" s="930"/>
    </row>
    <row r="165" spans="1:7" x14ac:dyDescent="0.2">
      <c r="A165" s="927" t="s">
        <v>668</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9">
        <f>SUM('Revenues 9-14'!C263:D263,'Revenues 9-14'!F263:G263)</f>
        <v>14263</v>
      </c>
      <c r="G168" s="947">
        <v>6320</v>
      </c>
    </row>
    <row r="169" spans="1:7" x14ac:dyDescent="0.2">
      <c r="A169" s="927" t="s">
        <v>668</v>
      </c>
      <c r="B169" s="927" t="s">
        <v>2050</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v>517203</v>
      </c>
      <c r="G171" s="927"/>
    </row>
    <row r="172" spans="1:7" x14ac:dyDescent="0.2">
      <c r="A172" s="1918" t="s">
        <v>664</v>
      </c>
      <c r="B172" s="1919" t="s">
        <v>1916</v>
      </c>
      <c r="C172" s="1920">
        <v>3300</v>
      </c>
      <c r="D172" s="1921" t="s">
        <v>1919</v>
      </c>
      <c r="E172" s="906"/>
      <c r="F172" s="1906">
        <v>256</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958</v>
      </c>
      <c r="F174" s="1788">
        <f>SUM(F84:F132,F157:F172)</f>
        <v>3172958</v>
      </c>
    </row>
    <row r="175" spans="1:7" ht="12" customHeight="1" x14ac:dyDescent="0.2">
      <c r="A175" s="1770"/>
      <c r="B175" s="1784"/>
      <c r="C175" s="1785"/>
      <c r="D175" s="1786" t="s">
        <v>2053</v>
      </c>
      <c r="E175" s="1787"/>
      <c r="F175" s="1789">
        <f>'PCTC-OEPP 27-28'!F77-F174</f>
        <v>17538626</v>
      </c>
    </row>
    <row r="176" spans="1:7" ht="12" customHeight="1" x14ac:dyDescent="0.2">
      <c r="A176" s="1770"/>
      <c r="B176" s="1784"/>
      <c r="C176" s="1785"/>
      <c r="D176" s="1786" t="s">
        <v>1814</v>
      </c>
      <c r="E176" s="1787"/>
      <c r="F176" s="1789">
        <f>'Cap Outlay Deprec 26'!I18</f>
        <v>1312747</v>
      </c>
    </row>
    <row r="177" spans="1:7" ht="12" customHeight="1" x14ac:dyDescent="0.2">
      <c r="A177" s="1770"/>
      <c r="B177" s="1784"/>
      <c r="C177" s="1785"/>
      <c r="D177" s="1786" t="s">
        <v>2054</v>
      </c>
      <c r="E177" s="1787"/>
      <c r="F177" s="1789">
        <f>F175+F176</f>
        <v>18851373</v>
      </c>
    </row>
    <row r="178" spans="1:7" ht="12" customHeight="1" x14ac:dyDescent="0.2">
      <c r="A178" s="1770"/>
      <c r="B178" s="1790"/>
      <c r="C178" s="1785"/>
      <c r="D178" s="1786" t="str">
        <f>D78</f>
        <v>9 Month ADA from District Average Daily Attendance/Prior General State Aid Inquiry 2018-2019</v>
      </c>
      <c r="E178" s="1787"/>
      <c r="F178" s="1791">
        <f>'PCTC-OEPP 27-28'!F78</f>
        <v>2279.6</v>
      </c>
      <c r="G178" s="930"/>
    </row>
    <row r="179" spans="1:7" ht="12" customHeight="1" thickBot="1" x14ac:dyDescent="0.25">
      <c r="A179" s="1770"/>
      <c r="B179" s="1790"/>
      <c r="C179" s="1785"/>
      <c r="D179" s="1786" t="s">
        <v>2055</v>
      </c>
      <c r="E179" s="1787" t="s">
        <v>1545</v>
      </c>
      <c r="F179" s="1792">
        <f>F177/F178</f>
        <v>8269.5968590980883</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B21" sqref="B21"/>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1815</v>
      </c>
      <c r="B4" s="2270"/>
      <c r="C4" s="2270"/>
      <c r="D4" s="2270"/>
      <c r="E4" s="2270"/>
      <c r="F4" s="2270"/>
      <c r="G4" s="2271"/>
    </row>
    <row r="5" spans="1:7" x14ac:dyDescent="0.25">
      <c r="A5" s="2272"/>
      <c r="B5" s="2273"/>
      <c r="C5" s="2273"/>
      <c r="D5" s="2273"/>
      <c r="E5" s="2273"/>
      <c r="F5" s="2273"/>
      <c r="G5" s="2274"/>
    </row>
    <row r="6" spans="1:7" ht="18.75" x14ac:dyDescent="0.25">
      <c r="A6" s="1534" t="s">
        <v>1816</v>
      </c>
      <c r="B6" s="1535"/>
      <c r="C6" s="1535"/>
      <c r="D6" s="1535"/>
      <c r="E6" s="1535"/>
      <c r="F6" s="1535"/>
      <c r="G6" s="1536"/>
    </row>
    <row r="7" spans="1:7" ht="30.75" customHeight="1" x14ac:dyDescent="0.25">
      <c r="A7" s="2275" t="s">
        <v>1928</v>
      </c>
      <c r="B7" s="2276"/>
      <c r="C7" s="2276"/>
      <c r="D7" s="2276"/>
      <c r="E7" s="2276"/>
      <c r="F7" s="2276"/>
      <c r="G7" s="2277"/>
    </row>
    <row r="8" spans="1:7" ht="15.75" customHeight="1" x14ac:dyDescent="0.25">
      <c r="A8" s="2278" t="s">
        <v>1903</v>
      </c>
      <c r="B8" s="2279"/>
      <c r="C8" s="2279"/>
      <c r="D8" s="2279"/>
      <c r="E8" s="2279"/>
      <c r="F8" s="2279"/>
      <c r="G8" s="2280"/>
    </row>
    <row r="9" spans="1:7" ht="35.25" customHeight="1" x14ac:dyDescent="0.25">
      <c r="A9" s="2275" t="s">
        <v>1931</v>
      </c>
      <c r="B9" s="2276"/>
      <c r="C9" s="2276"/>
      <c r="D9" s="2276"/>
      <c r="E9" s="2276"/>
      <c r="F9" s="2276"/>
      <c r="G9" s="2277"/>
    </row>
    <row r="10" spans="1:7" ht="15" customHeight="1" x14ac:dyDescent="0.25">
      <c r="A10" s="1537" t="s">
        <v>1817</v>
      </c>
      <c r="B10" s="1538"/>
      <c r="C10" s="1538"/>
      <c r="D10" s="1538"/>
      <c r="E10" s="1538"/>
      <c r="F10" s="1538"/>
      <c r="G10" s="1539"/>
    </row>
    <row r="11" spans="1:7" ht="17.25" customHeight="1" x14ac:dyDescent="0.25">
      <c r="A11" s="2275" t="s">
        <v>1930</v>
      </c>
      <c r="B11" s="2276"/>
      <c r="C11" s="2276"/>
      <c r="D11" s="2276"/>
      <c r="E11" s="2276"/>
      <c r="F11" s="2276"/>
      <c r="G11" s="2277"/>
    </row>
    <row r="12" spans="1:7" ht="15" customHeight="1" x14ac:dyDescent="0.25">
      <c r="A12" s="1537" t="s">
        <v>1822</v>
      </c>
      <c r="B12" s="1538"/>
      <c r="C12" s="1538"/>
      <c r="D12" s="1538"/>
      <c r="E12" s="1538"/>
      <c r="F12" s="1538"/>
      <c r="G12" s="1539"/>
    </row>
    <row r="13" spans="1:7" ht="32.25" customHeight="1" x14ac:dyDescent="0.25">
      <c r="A13" s="2266" t="s">
        <v>1972</v>
      </c>
      <c r="B13" s="2267"/>
      <c r="C13" s="2267"/>
      <c r="D13" s="2267"/>
      <c r="E13" s="2267"/>
      <c r="F13" s="2267"/>
      <c r="G13" s="2268"/>
    </row>
    <row r="14" spans="1:7" x14ac:dyDescent="0.25">
      <c r="A14" s="1661" t="s">
        <v>1830</v>
      </c>
      <c r="B14" s="1662"/>
      <c r="C14" s="1662"/>
      <c r="D14" s="1662"/>
      <c r="E14" s="1662"/>
      <c r="F14" s="1662"/>
      <c r="G14" s="1663"/>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2133</v>
      </c>
      <c r="B17" s="2486" t="s">
        <v>2148</v>
      </c>
      <c r="C17" s="1939" t="s">
        <v>2134</v>
      </c>
      <c r="D17" s="1844">
        <v>82548</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57548</v>
      </c>
      <c r="H17" s="1647"/>
    </row>
    <row r="18" spans="1:8" x14ac:dyDescent="0.25">
      <c r="A18" s="1938" t="s">
        <v>2138</v>
      </c>
      <c r="B18" s="2486" t="s">
        <v>2149</v>
      </c>
      <c r="C18" s="1939" t="s">
        <v>2135</v>
      </c>
      <c r="D18" s="1844">
        <v>5000</v>
      </c>
      <c r="E18" s="1540">
        <f t="shared" ref="E18:E140" si="2">IF(D18&lt;=25000,D18,IF(D18&gt;25000,25000,0))</f>
        <v>5000</v>
      </c>
      <c r="F18" s="1932">
        <f t="shared" si="1"/>
        <v>0</v>
      </c>
      <c r="G18" s="1793">
        <f t="shared" ref="G18:G140" si="3">IF(F18=0,0,D18-F18)</f>
        <v>0</v>
      </c>
    </row>
    <row r="19" spans="1:8" x14ac:dyDescent="0.25">
      <c r="A19" s="1938" t="s">
        <v>2139</v>
      </c>
      <c r="B19" s="2486" t="s">
        <v>2150</v>
      </c>
      <c r="C19" s="1939" t="s">
        <v>2136</v>
      </c>
      <c r="D19" s="1844">
        <v>11406</v>
      </c>
      <c r="E19" s="1540">
        <f t="shared" si="2"/>
        <v>11406</v>
      </c>
      <c r="F19" s="1932">
        <f t="shared" si="1"/>
        <v>11406</v>
      </c>
      <c r="G19" s="1793">
        <f t="shared" si="3"/>
        <v>0</v>
      </c>
    </row>
    <row r="20" spans="1:8" x14ac:dyDescent="0.25">
      <c r="A20" s="1938" t="s">
        <v>2140</v>
      </c>
      <c r="B20" s="2486" t="s">
        <v>2151</v>
      </c>
      <c r="C20" s="1939" t="s">
        <v>2137</v>
      </c>
      <c r="D20" s="1844">
        <v>6566</v>
      </c>
      <c r="E20" s="1540">
        <f t="shared" si="2"/>
        <v>6566</v>
      </c>
      <c r="F20" s="1932">
        <f t="shared" si="1"/>
        <v>6566</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105520</v>
      </c>
      <c r="E141" s="1541">
        <f t="shared" si="0"/>
        <v>25000</v>
      </c>
      <c r="F141" s="1933">
        <f>SUM(F17:F140)</f>
        <v>42972</v>
      </c>
      <c r="G141" s="1795">
        <f>SUM(G17:G140)</f>
        <v>57548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 colorId="8" zoomScale="110" zoomScaleNormal="110" workbookViewId="0">
      <selection activeCell="E8" sqref="E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286" t="s">
        <v>1973</v>
      </c>
      <c r="B11" s="2287"/>
      <c r="C11" s="2287"/>
      <c r="D11" s="2288"/>
      <c r="E11" s="977">
        <v>34716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12050036</v>
      </c>
      <c r="F19" s="1799"/>
      <c r="G19" s="1801">
        <f>'Expenditures 15-22'!K33-SUM('Expenditures 15-22'!G33,'Expenditures 15-22'!I33)+'Expenditures 15-22'!D229</f>
        <v>12050036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583718</v>
      </c>
      <c r="F21" s="1802"/>
      <c r="G21" s="1805">
        <f>'Expenditures 15-22'!K42-SUM('Expenditures 15-22'!G42,'Expenditures 15-22'!I42)+'Expenditures 15-22'!K120-SUM('Expenditures 15-22'!G120,'Expenditures 15-22'!I120)+'Expenditures 15-22'!K180-SUM('Expenditures 15-22'!G180,'Expenditures 15-22'!I180)+'Expenditures 15-22'!D238</f>
        <v>583718</v>
      </c>
      <c r="H21" s="987"/>
      <c r="I21" s="162"/>
    </row>
    <row r="22" spans="1:9" s="668" customFormat="1" ht="12" customHeight="1" x14ac:dyDescent="0.2">
      <c r="A22" s="994" t="s">
        <v>564</v>
      </c>
      <c r="B22" s="995"/>
      <c r="C22" s="993">
        <v>2200</v>
      </c>
      <c r="D22" s="1802"/>
      <c r="E22" s="1804">
        <f>'Expenditures 15-22'!K47-SUM('Expenditures 15-22'!G47,'Expenditures 15-22'!I47)+'Expenditures 15-22'!D243</f>
        <v>360042</v>
      </c>
      <c r="F22" s="1802"/>
      <c r="G22" s="1805">
        <f>'Expenditures 15-22'!K47-SUM('Expenditures 15-22'!G47,'Expenditures 15-22'!I47)+'Expenditures 15-22'!D243</f>
        <v>360042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1161287</v>
      </c>
      <c r="F23" s="1802"/>
      <c r="G23" s="1804">
        <f>'Expenditures 15-22'!K53-SUM('Expenditures 15-22'!G53,'Expenditures 15-22'!I53)+'Expenditures 15-22'!D257+'Expenditures 15-22'!K330-SUM('Expenditures 15-22'!G330,'Expenditures 15-22'!I330)</f>
        <v>1161287</v>
      </c>
      <c r="H23" s="987"/>
      <c r="I23" s="162"/>
    </row>
    <row r="24" spans="1:9" s="668" customFormat="1" ht="12" customHeight="1" x14ac:dyDescent="0.2">
      <c r="A24" s="994" t="s">
        <v>566</v>
      </c>
      <c r="B24" s="995"/>
      <c r="C24" s="993">
        <v>2400</v>
      </c>
      <c r="D24" s="1802"/>
      <c r="E24" s="1804">
        <f>'Expenditures 15-22'!K57-SUM('Expenditures 15-22'!G57,'Expenditures 15-22'!I57)+'Expenditures 15-22'!D261</f>
        <v>1319996</v>
      </c>
      <c r="F24" s="1802"/>
      <c r="G24" s="1805">
        <f>'Expenditures 15-22'!K57-SUM('Expenditures 15-22'!G57,'Expenditures 15-22'!I57)+'Expenditures 15-22'!D261</f>
        <v>1319996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404468</v>
      </c>
      <c r="E27" s="1804">
        <f>E8</f>
        <v>0</v>
      </c>
      <c r="F27" s="1804">
        <f>'Expenditures 15-22'!K60-SUM('Expenditures 15-22'!G60,'Expenditures 15-22'!I60)+'Expenditures 15-22'!D264-E8</f>
        <v>404468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1637315</v>
      </c>
      <c r="F28" s="1806">
        <f>'Expenditures 15-22'!K61-SUM('Expenditures 15-22'!G61,'Expenditures 15-22'!I61)+'Expenditures 15-22'!K124-SUM('Expenditures 15-22'!G124,'Expenditures 15-22'!I124)+'Expenditures 15-22'!D266-E9</f>
        <v>1637315</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1025846</v>
      </c>
      <c r="F29" s="1802"/>
      <c r="G29" s="1805">
        <f>'Expenditures 15-22'!K62-SUM('Expenditures 15-22'!G62,'Expenditures 15-22'!I62)+'Expenditures 15-22'!K125-SUM('Expenditures 15-22'!G125,'Expenditures 15-22'!I125)+'Expenditures 15-22'!K182-SUM('Expenditures 15-22'!G182,'Expenditures 15-22'!I182)+'Expenditures 15-22'!D267</f>
        <v>1025846</v>
      </c>
      <c r="H29" s="985"/>
    </row>
    <row r="30" spans="1:9" ht="12" customHeight="1" x14ac:dyDescent="0.2">
      <c r="A30" s="994" t="s">
        <v>100</v>
      </c>
      <c r="B30" s="997"/>
      <c r="C30" s="993">
        <v>2560</v>
      </c>
      <c r="D30" s="1802"/>
      <c r="E30" s="1804">
        <f>'Expenditures 15-22'!K63-SUM('Expenditures 15-22'!G63,'Expenditures 15-22'!I63)+'Expenditures 15-22'!D268-E10</f>
        <v>952111</v>
      </c>
      <c r="F30" s="1802"/>
      <c r="G30" s="1804">
        <f>'Expenditures 15-22'!K63-SUM('Expenditures 15-22'!G63,'Expenditures 15-22'!I63)+'Expenditures 15-22'!D268-E10</f>
        <v>952111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191270</v>
      </c>
      <c r="F39" s="1802"/>
      <c r="G39" s="1804">
        <f>'Expenditures 15-22'!K75-SUM('Expenditures 15-22'!G75,'Expenditures 15-22'!I75)+'Expenditures 15-22'!K130-SUM('Expenditures 15-22'!G130,'Expenditures 15-22'!I130)+'Expenditures 15-22'!K185-SUM('Expenditures 15-22'!G185,'Expenditures 15-22'!I185)+'Expenditures 15-22'!D280</f>
        <v>191270</v>
      </c>
    </row>
    <row r="40" spans="1:7" ht="12" customHeight="1" x14ac:dyDescent="0.2">
      <c r="A40" s="990" t="s">
        <v>1820</v>
      </c>
      <c r="B40" s="991"/>
      <c r="C40" s="993"/>
      <c r="D40" s="1802"/>
      <c r="E40" s="1806">
        <f>-'Contracts Paid in CY 29'!G141</f>
        <v>-57548</v>
      </c>
      <c r="F40" s="1802"/>
      <c r="G40" s="1806">
        <f>-'Contracts Paid in CY 29'!G141</f>
        <v>-57548</v>
      </c>
    </row>
    <row r="41" spans="1:7" ht="12" customHeight="1" x14ac:dyDescent="0.2">
      <c r="A41" s="998" t="s">
        <v>156</v>
      </c>
      <c r="B41" s="999"/>
      <c r="C41" s="1000"/>
      <c r="D41" s="1806">
        <f>SUM(D19:D39)</f>
        <v>404468</v>
      </c>
      <c r="E41" s="1806">
        <f>SUM(E19:E40)</f>
        <v>19224073</v>
      </c>
      <c r="F41" s="1806">
        <f>SUM(F19:F39)</f>
        <v>2041783</v>
      </c>
      <c r="G41" s="1806">
        <f>SUM(G19:G40)</f>
        <v>17586758</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404468</v>
      </c>
      <c r="F43" s="1807" t="s">
        <v>473</v>
      </c>
      <c r="G43" s="1808">
        <f>F41</f>
        <v>2041783</v>
      </c>
    </row>
    <row r="44" spans="1:7" ht="12" customHeight="1" x14ac:dyDescent="0.2">
      <c r="A44" s="987"/>
      <c r="B44" s="162"/>
      <c r="C44" s="1001"/>
      <c r="D44" s="1807" t="s">
        <v>474</v>
      </c>
      <c r="E44" s="1808">
        <f>E41</f>
        <v>19224073</v>
      </c>
      <c r="F44" s="1807" t="s">
        <v>474</v>
      </c>
      <c r="G44" s="1808">
        <f>G41</f>
        <v>17586758</v>
      </c>
    </row>
    <row r="45" spans="1:7" ht="12" customHeight="1" x14ac:dyDescent="0.2">
      <c r="A45" s="987"/>
      <c r="B45" s="162"/>
      <c r="C45" s="162"/>
      <c r="D45" s="1809" t="s">
        <v>1006</v>
      </c>
      <c r="E45" s="1810">
        <f>(E43/E44)</f>
        <v>2.1039662094499954E-2</v>
      </c>
      <c r="F45" s="1809" t="s">
        <v>1006</v>
      </c>
      <c r="G45" s="1810">
        <f>(G43/G44)</f>
        <v>0.11609774808978437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B47" sqref="B4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3" t="s">
        <v>1379</v>
      </c>
      <c r="B1" s="2303"/>
      <c r="C1" s="2303"/>
      <c r="D1" s="2303"/>
      <c r="E1" s="2303"/>
      <c r="F1" s="2303"/>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04" t="s">
        <v>1546</v>
      </c>
      <c r="B5" s="2305"/>
      <c r="C5" s="2306"/>
      <c r="D5" s="2306"/>
      <c r="E5" s="2306"/>
      <c r="F5" s="2306"/>
    </row>
    <row r="6" spans="1:10" ht="12" customHeight="1" x14ac:dyDescent="0.25">
      <c r="A6" s="1850"/>
      <c r="B6" s="1851"/>
      <c r="C6" s="2307" t="str">
        <f>COVER!A17</f>
        <v>Mt Zion CUSD 3</v>
      </c>
      <c r="D6" s="2307"/>
      <c r="E6" s="2307"/>
      <c r="F6" s="1852"/>
    </row>
    <row r="7" spans="1:10" ht="11.25" customHeight="1" thickBot="1" x14ac:dyDescent="0.3">
      <c r="A7" s="1850"/>
      <c r="B7" s="1851"/>
      <c r="C7" s="2308">
        <f>COVER!A13</f>
        <v>39055003026</v>
      </c>
      <c r="D7" s="2308"/>
      <c r="E7" s="2308"/>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2061</v>
      </c>
      <c r="D31" s="1865" t="s">
        <v>2061</v>
      </c>
      <c r="E31" s="1868"/>
      <c r="F31" s="1867" t="s">
        <v>2141</v>
      </c>
      <c r="H31" s="1878">
        <f t="shared" si="0"/>
        <v>5</v>
      </c>
      <c r="I31" s="1878">
        <f t="shared" si="1"/>
        <v>5</v>
      </c>
      <c r="J31" s="1878">
        <f t="shared" si="2"/>
        <v>0</v>
      </c>
      <c r="L31" s="1869"/>
    </row>
    <row r="32" spans="1:12" ht="12" customHeight="1" x14ac:dyDescent="0.2">
      <c r="A32" s="1863" t="s">
        <v>1540</v>
      </c>
      <c r="B32" s="1864"/>
      <c r="C32" s="1865" t="s">
        <v>2061</v>
      </c>
      <c r="D32" s="1865" t="s">
        <v>2061</v>
      </c>
      <c r="E32" s="1868"/>
      <c r="F32" s="1867" t="s">
        <v>2142</v>
      </c>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1392</v>
      </c>
      <c r="B35" s="1872"/>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3"/>
      <c r="B39" s="1873"/>
      <c r="C39" s="1873"/>
      <c r="D39" s="1873"/>
      <c r="E39" s="1873"/>
      <c r="F39" s="1873"/>
    </row>
    <row r="40" spans="1:11" s="1870" customFormat="1" ht="12" customHeight="1" x14ac:dyDescent="0.25">
      <c r="A40" s="1874" t="s">
        <v>1391</v>
      </c>
      <c r="B40" s="1875"/>
      <c r="C40" s="2298"/>
      <c r="D40" s="2298"/>
      <c r="E40" s="2298"/>
      <c r="F40" s="2299"/>
      <c r="H40" s="1879"/>
      <c r="I40" s="1879"/>
      <c r="J40" s="1879"/>
      <c r="K40" s="1879"/>
    </row>
    <row r="41" spans="1:11" s="1870" customFormat="1" ht="12" customHeight="1" x14ac:dyDescent="0.25">
      <c r="A41" s="2300"/>
      <c r="B41" s="2301"/>
      <c r="C41" s="2301"/>
      <c r="D41" s="2301"/>
      <c r="E41" s="2301"/>
      <c r="F41" s="2302"/>
      <c r="H41" s="1879"/>
      <c r="I41" s="1879"/>
      <c r="J41" s="1879"/>
      <c r="K41" s="1879"/>
    </row>
    <row r="42" spans="1:11" s="1870" customFormat="1" ht="12" customHeight="1" x14ac:dyDescent="0.25">
      <c r="A42" s="2300"/>
      <c r="B42" s="2301"/>
      <c r="C42" s="2301"/>
      <c r="D42" s="2301"/>
      <c r="E42" s="2301"/>
      <c r="F42" s="2302"/>
      <c r="H42" s="1879"/>
      <c r="I42" s="1879"/>
      <c r="J42" s="1879"/>
      <c r="K42" s="1879"/>
    </row>
    <row r="43" spans="1:11" s="1870" customFormat="1" ht="15" x14ac:dyDescent="0.25">
      <c r="A43" s="2289"/>
      <c r="B43" s="2290"/>
      <c r="C43" s="2290"/>
      <c r="D43" s="2290"/>
      <c r="E43" s="2290"/>
      <c r="F43" s="2291"/>
      <c r="H43" s="1879"/>
      <c r="I43" s="1879"/>
      <c r="J43" s="1879"/>
      <c r="K43" s="1879"/>
    </row>
    <row r="44" spans="1:11" s="1870" customFormat="1" ht="12" hidden="1" customHeight="1" x14ac:dyDescent="0.25">
      <c r="A44" s="2289"/>
      <c r="B44" s="2290"/>
      <c r="C44" s="2290"/>
      <c r="D44" s="2290"/>
      <c r="E44" s="2290"/>
      <c r="F44" s="229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Mt Zion CUSD 3</v>
      </c>
      <c r="J6" s="2317"/>
      <c r="Q6" s="1664"/>
    </row>
    <row r="7" spans="1:17" x14ac:dyDescent="0.2">
      <c r="A7" s="2318" t="s">
        <v>869</v>
      </c>
      <c r="B7" s="2319"/>
      <c r="C7" s="2319"/>
      <c r="D7" s="2319"/>
      <c r="E7" s="2320"/>
      <c r="F7" s="1017"/>
      <c r="G7" s="1009"/>
      <c r="H7" s="1016" t="s">
        <v>372</v>
      </c>
      <c r="I7" s="2321">
        <f>COVER!A13</f>
        <v>39055003026</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336373</v>
      </c>
      <c r="F12" s="1039"/>
      <c r="G12" s="1811">
        <f t="shared" ref="G12:G18" si="0">SUM(E12:F12)</f>
        <v>336373</v>
      </c>
      <c r="H12" s="1040">
        <v>352600</v>
      </c>
      <c r="I12" s="1039"/>
      <c r="J12" s="1811">
        <f t="shared" ref="J12:J18" si="1">SUM(H12:I12)</f>
        <v>352600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336373</v>
      </c>
      <c r="F19" s="1813">
        <f t="shared" si="2"/>
        <v>0</v>
      </c>
      <c r="G19" s="1813">
        <f t="shared" si="2"/>
        <v>336373</v>
      </c>
      <c r="H19" s="1813">
        <f t="shared" si="2"/>
        <v>352600</v>
      </c>
      <c r="I19" s="1813">
        <f t="shared" si="2"/>
        <v>0</v>
      </c>
      <c r="J19" s="1813">
        <f t="shared" si="2"/>
        <v>352600</v>
      </c>
    </row>
    <row r="20" spans="1:10" ht="13.5" thickTop="1" x14ac:dyDescent="0.2">
      <c r="A20" s="1035">
        <v>9</v>
      </c>
      <c r="B20" s="2328" t="s">
        <v>1977</v>
      </c>
      <c r="C20" s="2328"/>
      <c r="D20" s="2329"/>
      <c r="E20" s="1046"/>
      <c r="F20" s="1046"/>
      <c r="G20" s="1046"/>
      <c r="H20" s="1046"/>
      <c r="I20" s="1046"/>
      <c r="J20" s="1814">
        <f>IF(AND(G19&gt;0,J19&gt;0),(((J19-G19)/G19)),"Enter Budget Data")</f>
        <v>4.8241089504805677E-2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1979</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Mt Zion CUSD 3</v>
      </c>
    </row>
    <row r="65" spans="2:2" x14ac:dyDescent="0.2">
      <c r="B65" s="1070">
        <f>COVER!A13</f>
        <v>39055003026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4" sqref="D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361950</xdr:colOff>
                <xdr:row>3</xdr:row>
                <xdr:rowOff>76200</xdr:rowOff>
              </from>
              <to>
                <xdr:col>1</xdr:col>
                <xdr:colOff>1276350</xdr:colOff>
                <xdr:row>7</xdr:row>
                <xdr:rowOff>114300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1983</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1984</v>
      </c>
      <c r="B4" s="2356"/>
      <c r="C4" s="2356"/>
      <c r="D4" s="2356"/>
      <c r="E4" s="2356"/>
      <c r="F4" s="2357"/>
      <c r="G4" s="1074"/>
      <c r="H4" s="1074"/>
    </row>
    <row r="5" spans="1:8" ht="14.25" customHeight="1" x14ac:dyDescent="0.2">
      <c r="A5" s="2358" t="s">
        <v>1980</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17032543</v>
      </c>
      <c r="C8" s="1815">
        <f>'Acct Summary 7-8'!D8</f>
        <v>1403655</v>
      </c>
      <c r="D8" s="1815">
        <f>'Acct Summary 7-8'!F8</f>
        <v>1230092</v>
      </c>
      <c r="E8" s="1815">
        <f>'Acct Summary 7-8'!I8</f>
        <v>149167</v>
      </c>
      <c r="F8" s="1815">
        <f>SUM(B8:E8)</f>
        <v>19815457</v>
      </c>
    </row>
    <row r="9" spans="1:8" s="1079" customFormat="1" ht="14.25" customHeight="1" thickBot="1" x14ac:dyDescent="0.25">
      <c r="A9" s="1078" t="s">
        <v>1369</v>
      </c>
      <c r="B9" s="1816">
        <f>'Acct Summary 7-8'!C17</f>
        <v>17029035</v>
      </c>
      <c r="C9" s="1816">
        <f>'Acct Summary 7-8'!D17</f>
        <v>1401750</v>
      </c>
      <c r="D9" s="1816">
        <f>'Acct Summary 7-8'!F17</f>
        <v>1218755</v>
      </c>
      <c r="E9" s="1815"/>
      <c r="F9" s="1815">
        <f>SUM(B9:E9)</f>
        <v>19649540</v>
      </c>
    </row>
    <row r="10" spans="1:8" s="1079" customFormat="1" ht="14.25" thickTop="1" thickBot="1" x14ac:dyDescent="0.25">
      <c r="A10" s="1080" t="s">
        <v>1370</v>
      </c>
      <c r="B10" s="1817">
        <f>(B8-B9)</f>
        <v>3508</v>
      </c>
      <c r="C10" s="1817">
        <f>(C8-C9)</f>
        <v>1905</v>
      </c>
      <c r="D10" s="1817">
        <f>(D8-D9)</f>
        <v>11337</v>
      </c>
      <c r="E10" s="1816">
        <f>(E8-E9)</f>
        <v>149167</v>
      </c>
      <c r="F10" s="1818">
        <f>SUM(F8-F9)</f>
        <v>165917</v>
      </c>
    </row>
    <row r="11" spans="1:8" s="1079" customFormat="1" ht="14.25" thickTop="1" thickBot="1" x14ac:dyDescent="0.25">
      <c r="A11" s="1081" t="s">
        <v>1981</v>
      </c>
      <c r="B11" s="1819">
        <f>'Acct Summary 7-8'!C81</f>
        <v>3455262</v>
      </c>
      <c r="C11" s="1819">
        <f>'Acct Summary 7-8'!D81</f>
        <v>842314</v>
      </c>
      <c r="D11" s="1819">
        <f>'Acct Summary 7-8'!F81</f>
        <v>611863</v>
      </c>
      <c r="E11" s="1819">
        <f>'Acct Summary 7-8'!I81</f>
        <v>1191442</v>
      </c>
      <c r="F11" s="1820">
        <f>SUM(B11:E11)</f>
        <v>6100881</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65" sqref="D6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39055003026</v>
      </c>
    </row>
    <row r="3" spans="1:2" x14ac:dyDescent="0.2">
      <c r="A3" t="s">
        <v>956</v>
      </c>
      <c r="B3" s="138" t="str">
        <f>COVER!A15</f>
        <v>Macon/Piatt</v>
      </c>
    </row>
    <row r="4" spans="1:2" x14ac:dyDescent="0.2">
      <c r="A4" t="s">
        <v>1007</v>
      </c>
      <c r="B4" s="138" t="str">
        <f>COVER!A17</f>
        <v>Mt Zion CUSD 3</v>
      </c>
    </row>
    <row r="5" spans="1:2" x14ac:dyDescent="0.2">
      <c r="A5" t="s">
        <v>704</v>
      </c>
      <c r="B5" s="138" t="str">
        <f>COVER!A38</f>
        <v>Mr. Travis Roundcount</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066-003844</v>
      </c>
    </row>
    <row r="16" spans="1:2" x14ac:dyDescent="0.2">
      <c r="A16" t="s">
        <v>422</v>
      </c>
      <c r="B16" s="138" t="str">
        <f>COVER!T13</f>
        <v>BKD, LLP</v>
      </c>
    </row>
    <row r="17" spans="1:2" x14ac:dyDescent="0.2">
      <c r="A17" t="s">
        <v>884</v>
      </c>
      <c r="B17" s="138" t="str">
        <f>COVER!T15</f>
        <v>Heather Powell</v>
      </c>
    </row>
    <row r="18" spans="1:2" x14ac:dyDescent="0.2">
      <c r="A18" t="s">
        <v>1150</v>
      </c>
      <c r="B18" s="138" t="str">
        <f>COVER!T17</f>
        <v>225 North Water Street, Suite 400</v>
      </c>
    </row>
    <row r="19" spans="1:2" x14ac:dyDescent="0.2">
      <c r="A19" t="s">
        <v>886</v>
      </c>
      <c r="B19" s="138" t="str">
        <f>COVER!T25</f>
        <v>hpowell@bkd.com</v>
      </c>
    </row>
    <row r="20" spans="1:2" x14ac:dyDescent="0.2">
      <c r="A20" t="s">
        <v>887</v>
      </c>
      <c r="B20" s="138" t="str">
        <f>COVER!T19</f>
        <v>Decatur</v>
      </c>
    </row>
    <row r="21" spans="1:2" x14ac:dyDescent="0.2">
      <c r="A21" t="s">
        <v>479</v>
      </c>
      <c r="B21" s="138" t="str">
        <f>COVER!X19</f>
        <v>IL</v>
      </c>
    </row>
    <row r="22" spans="1:2" x14ac:dyDescent="0.2">
      <c r="A22" t="s">
        <v>888</v>
      </c>
      <c r="B22" s="138">
        <f>COVER!Z19</f>
        <v>62523</v>
      </c>
    </row>
    <row r="23" spans="1:2" x14ac:dyDescent="0.2">
      <c r="A23" t="s">
        <v>1152</v>
      </c>
      <c r="B23" s="138" t="str">
        <f>COVER!T21</f>
        <v>217-429-2411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3485919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30657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30657</v>
      </c>
      <c r="C91" s="2" t="s">
        <v>573</v>
      </c>
      <c r="D91" s="2" t="str">
        <f t="shared" si="0"/>
        <v>Error?</v>
      </c>
    </row>
    <row r="92" spans="1:4" x14ac:dyDescent="0.2">
      <c r="A92" s="5">
        <v>31</v>
      </c>
      <c r="B92" s="138">
        <f>'Assets-Liab 5-6'!C39</f>
        <v>3455262</v>
      </c>
      <c r="D92" s="2" t="str">
        <f t="shared" si="0"/>
        <v>Error?</v>
      </c>
    </row>
    <row r="93" spans="1:4" x14ac:dyDescent="0.2">
      <c r="A93" s="5">
        <v>32</v>
      </c>
      <c r="B93" s="138">
        <f>'Assets-Liab 5-6'!C41</f>
        <v>3485919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842314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842314</v>
      </c>
      <c r="D123" s="2" t="str">
        <f t="shared" si="0"/>
        <v>Error?</v>
      </c>
    </row>
    <row r="124" spans="1:4" x14ac:dyDescent="0.2">
      <c r="A124" s="5">
        <v>63</v>
      </c>
      <c r="B124" s="138">
        <f>'Assets-Liab 5-6'!D41</f>
        <v>842314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516988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516988</v>
      </c>
      <c r="D140" s="2" t="str">
        <f t="shared" si="1"/>
        <v>Error?</v>
      </c>
    </row>
    <row r="141" spans="1:4" x14ac:dyDescent="0.2">
      <c r="A141" s="5">
        <v>80</v>
      </c>
      <c r="B141" s="138">
        <f>'Assets-Liab 5-6'!E41</f>
        <v>516988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611863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611863</v>
      </c>
      <c r="D170" s="2" t="str">
        <f t="shared" si="1"/>
        <v>Error?</v>
      </c>
    </row>
    <row r="171" spans="1:4" x14ac:dyDescent="0.2">
      <c r="A171" s="5">
        <v>110</v>
      </c>
      <c r="B171" s="138">
        <f>'Assets-Liab 5-6'!F41</f>
        <v>611863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359924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248652</v>
      </c>
      <c r="D189" s="2" t="str">
        <f t="shared" si="1"/>
        <v>Error?</v>
      </c>
    </row>
    <row r="190" spans="1:4" x14ac:dyDescent="0.2">
      <c r="A190" s="5">
        <v>129</v>
      </c>
      <c r="B190" s="138">
        <f>'Assets-Liab 5-6'!G41</f>
        <v>359924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1240947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1240947</v>
      </c>
      <c r="D212" s="2" t="str">
        <f t="shared" si="2"/>
        <v>Error?</v>
      </c>
    </row>
    <row r="213" spans="1:4" x14ac:dyDescent="0.2">
      <c r="A213" s="12">
        <v>152</v>
      </c>
      <c r="B213" s="138">
        <f>'Assets-Liab 5-6'!H41</f>
        <v>1240947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411741</v>
      </c>
      <c r="D273" s="2" t="str">
        <f t="shared" si="3"/>
        <v>Error?</v>
      </c>
    </row>
    <row r="274" spans="1:4" x14ac:dyDescent="0.2">
      <c r="A274" s="5">
        <v>213</v>
      </c>
      <c r="B274" s="138">
        <f>'Assets-Liab 5-6'!M17</f>
        <v>49840152</v>
      </c>
      <c r="D274" s="2" t="str">
        <f t="shared" si="3"/>
        <v>Error?</v>
      </c>
    </row>
    <row r="275" spans="1:4" x14ac:dyDescent="0.2">
      <c r="A275" s="5">
        <v>214</v>
      </c>
      <c r="B275" s="138">
        <f>'Assets-Liab 5-6'!M18</f>
        <v>2427918</v>
      </c>
      <c r="D275" s="2" t="str">
        <f t="shared" si="3"/>
        <v>Error?</v>
      </c>
    </row>
    <row r="276" spans="1:4" x14ac:dyDescent="0.2">
      <c r="A276" s="5">
        <v>215</v>
      </c>
      <c r="B276" s="138">
        <f>'Assets-Liab 5-6'!M19</f>
        <v>6300124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58979935</v>
      </c>
      <c r="C279" s="2" t="s">
        <v>573</v>
      </c>
      <c r="D279" s="2" t="str">
        <f t="shared" si="3"/>
        <v>Error?</v>
      </c>
    </row>
    <row r="280" spans="1:4" x14ac:dyDescent="0.2">
      <c r="A280" s="5">
        <v>219</v>
      </c>
      <c r="B280" s="138">
        <f>'Assets-Liab 5-6'!M40</f>
        <v>58979935</v>
      </c>
      <c r="D280" s="2" t="str">
        <f t="shared" si="3"/>
        <v>Error?</v>
      </c>
    </row>
    <row r="281" spans="1:4" x14ac:dyDescent="0.2">
      <c r="A281" s="5">
        <v>220</v>
      </c>
      <c r="B281" s="138">
        <f>'Assets-Liab 5-6'!M41</f>
        <v>58979935</v>
      </c>
      <c r="C281" s="2" t="s">
        <v>573</v>
      </c>
      <c r="D281" s="2" t="str">
        <f t="shared" si="3"/>
        <v>Error?</v>
      </c>
    </row>
    <row r="282" spans="1:4" x14ac:dyDescent="0.2">
      <c r="A282" s="5">
        <v>221</v>
      </c>
      <c r="B282" s="138">
        <f>'Assets-Liab 5-6'!N21</f>
        <v>516988</v>
      </c>
      <c r="D282" s="2" t="str">
        <f t="shared" si="3"/>
        <v>Error?</v>
      </c>
    </row>
    <row r="283" spans="1:4" x14ac:dyDescent="0.2">
      <c r="A283" s="5">
        <v>222</v>
      </c>
      <c r="B283" s="138">
        <f>'Assets-Liab 5-6'!N22</f>
        <v>26908012</v>
      </c>
      <c r="D283" s="2" t="str">
        <f t="shared" si="3"/>
        <v>Error?</v>
      </c>
    </row>
    <row r="284" spans="1:4" x14ac:dyDescent="0.2">
      <c r="A284" s="5">
        <v>223</v>
      </c>
      <c r="B284" s="138">
        <f>'Assets-Liab 5-6'!N23</f>
        <v>27425000</v>
      </c>
      <c r="C284" s="2" t="s">
        <v>573</v>
      </c>
      <c r="D284" s="2" t="str">
        <f t="shared" si="3"/>
        <v>Error?</v>
      </c>
    </row>
    <row r="285" spans="1:4" x14ac:dyDescent="0.2">
      <c r="A285" s="5">
        <v>224</v>
      </c>
      <c r="B285" s="138">
        <f>'Assets-Liab 5-6'!N36</f>
        <v>27425000</v>
      </c>
      <c r="D285" s="2" t="str">
        <f t="shared" si="3"/>
        <v>Error?</v>
      </c>
    </row>
    <row r="286" spans="1:4" x14ac:dyDescent="0.2">
      <c r="A286" s="10">
        <v>225</v>
      </c>
      <c r="D286" s="2" t="str">
        <f t="shared" si="3"/>
        <v>OK</v>
      </c>
    </row>
    <row r="287" spans="1:4" x14ac:dyDescent="0.2">
      <c r="A287" s="5">
        <v>226</v>
      </c>
      <c r="B287" s="138">
        <f>'Assets-Liab 5-6'!N37</f>
        <v>27425000</v>
      </c>
      <c r="C287" s="2" t="s">
        <v>573</v>
      </c>
      <c r="D287" s="2" t="str">
        <f t="shared" si="3"/>
        <v>Error?</v>
      </c>
    </row>
    <row r="288" spans="1:4" x14ac:dyDescent="0.2">
      <c r="A288" s="5">
        <v>227</v>
      </c>
      <c r="B288" s="138">
        <f>'Assets-Liab 5-6'!N41</f>
        <v>27425000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7389769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220124</v>
      </c>
      <c r="D718" s="2" t="str">
        <f t="shared" si="10"/>
        <v>Error?</v>
      </c>
    </row>
    <row r="719" spans="1:4" x14ac:dyDescent="0.2">
      <c r="A719" s="5">
        <v>658</v>
      </c>
      <c r="B719" s="138">
        <f>'Expenditures 15-22'!C15</f>
        <v>6653</v>
      </c>
      <c r="D719" s="2" t="str">
        <f t="shared" si="10"/>
        <v>Error?</v>
      </c>
    </row>
    <row r="720" spans="1:4" x14ac:dyDescent="0.2">
      <c r="A720" s="5">
        <v>659</v>
      </c>
      <c r="B720" s="138">
        <f>'Expenditures 15-22'!C33</f>
        <v>9014187</v>
      </c>
      <c r="C720" s="2" t="s">
        <v>573</v>
      </c>
      <c r="D720" s="2" t="str">
        <f t="shared" si="10"/>
        <v>Error?</v>
      </c>
    </row>
    <row r="721" spans="1:4" x14ac:dyDescent="0.2">
      <c r="A721" s="5">
        <v>660</v>
      </c>
      <c r="B721" s="138">
        <f>'Expenditures 15-22'!C36</f>
        <v>152479</v>
      </c>
      <c r="D721" s="2" t="str">
        <f t="shared" si="10"/>
        <v>Error?</v>
      </c>
    </row>
    <row r="722" spans="1:4" x14ac:dyDescent="0.2">
      <c r="A722" s="5">
        <v>661</v>
      </c>
      <c r="B722" s="138">
        <f>'Expenditures 15-22'!C37</f>
        <v>232565</v>
      </c>
      <c r="D722" s="2" t="str">
        <f t="shared" si="10"/>
        <v>Error?</v>
      </c>
    </row>
    <row r="723" spans="1:4" x14ac:dyDescent="0.2">
      <c r="A723" s="5">
        <v>662</v>
      </c>
      <c r="B723" s="138">
        <f>'Expenditures 15-22'!C38</f>
        <v>34021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419065</v>
      </c>
      <c r="C727" s="2" t="s">
        <v>573</v>
      </c>
      <c r="D727" s="2" t="str">
        <f t="shared" si="10"/>
        <v>Error?</v>
      </c>
    </row>
    <row r="728" spans="1:4" x14ac:dyDescent="0.2">
      <c r="A728" s="5">
        <v>667</v>
      </c>
      <c r="B728" s="138">
        <f>'Expenditures 15-22'!C44</f>
        <v>45036</v>
      </c>
      <c r="D728" s="2" t="str">
        <f t="shared" si="10"/>
        <v>Error?</v>
      </c>
    </row>
    <row r="729" spans="1:4" x14ac:dyDescent="0.2">
      <c r="A729" s="5">
        <v>668</v>
      </c>
      <c r="B729" s="138">
        <f>'Expenditures 15-22'!C45</f>
        <v>158555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203591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246879</v>
      </c>
      <c r="D733" s="2" t="str">
        <f t="shared" si="10"/>
        <v>Error?</v>
      </c>
    </row>
    <row r="734" spans="1:4" x14ac:dyDescent="0.2">
      <c r="A734" s="5">
        <v>673</v>
      </c>
      <c r="B734" s="138">
        <f>'Expenditures 15-22'!C53</f>
        <v>246879</v>
      </c>
      <c r="C734" s="2" t="s">
        <v>573</v>
      </c>
      <c r="D734" s="2" t="str">
        <f t="shared" si="10"/>
        <v>Error?</v>
      </c>
    </row>
    <row r="735" spans="1:4" x14ac:dyDescent="0.2">
      <c r="A735" s="5">
        <v>674</v>
      </c>
      <c r="B735" s="138">
        <f>'Expenditures 15-22'!C55</f>
        <v>1029928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1029928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218389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352120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570509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2469972</v>
      </c>
      <c r="C755" s="2" t="s">
        <v>573</v>
      </c>
      <c r="D755" s="2" t="str">
        <f t="shared" si="10"/>
        <v>Error?</v>
      </c>
    </row>
    <row r="756" spans="1:4" x14ac:dyDescent="0.2">
      <c r="A756" s="5">
        <v>695</v>
      </c>
      <c r="B756" s="138">
        <f>'Expenditures 15-22'!C75</f>
        <v>134574</v>
      </c>
      <c r="D756" s="2" t="str">
        <f t="shared" si="10"/>
        <v>Error?</v>
      </c>
    </row>
    <row r="757" spans="1:4" x14ac:dyDescent="0.2">
      <c r="A757" s="5">
        <v>696</v>
      </c>
      <c r="B757" s="138">
        <f>'Expenditures 15-22'!C114</f>
        <v>11618733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1796165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16571</v>
      </c>
      <c r="D776" s="2" t="str">
        <f t="shared" si="11"/>
        <v>Error?</v>
      </c>
    </row>
    <row r="777" spans="1:4" x14ac:dyDescent="0.2">
      <c r="A777" s="5">
        <v>716</v>
      </c>
      <c r="B777" s="138">
        <f>'Expenditures 15-22'!D15</f>
        <v>768</v>
      </c>
      <c r="D777" s="2" t="str">
        <f t="shared" si="11"/>
        <v>Error?</v>
      </c>
    </row>
    <row r="778" spans="1:4" x14ac:dyDescent="0.2">
      <c r="A778" s="5">
        <v>717</v>
      </c>
      <c r="B778" s="138">
        <f>'Expenditures 15-22'!D33</f>
        <v>2118919</v>
      </c>
      <c r="C778" s="2" t="s">
        <v>573</v>
      </c>
      <c r="D778" s="2" t="str">
        <f t="shared" si="11"/>
        <v>Error?</v>
      </c>
    </row>
    <row r="779" spans="1:4" x14ac:dyDescent="0.2">
      <c r="A779" s="5">
        <v>718</v>
      </c>
      <c r="B779" s="138">
        <f>'Expenditures 15-22'!D36</f>
        <v>34533</v>
      </c>
      <c r="D779" s="2" t="str">
        <f t="shared" si="11"/>
        <v>Error?</v>
      </c>
    </row>
    <row r="780" spans="1:4" x14ac:dyDescent="0.2">
      <c r="A780" s="5">
        <v>719</v>
      </c>
      <c r="B780" s="138">
        <f>'Expenditures 15-22'!D37</f>
        <v>65961</v>
      </c>
      <c r="D780" s="2" t="str">
        <f t="shared" si="11"/>
        <v>Error?</v>
      </c>
    </row>
    <row r="781" spans="1:4" x14ac:dyDescent="0.2">
      <c r="A781" s="5">
        <v>720</v>
      </c>
      <c r="B781" s="138">
        <f>'Expenditures 15-22'!D38</f>
        <v>14899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115393</v>
      </c>
      <c r="C785" s="2" t="s">
        <v>573</v>
      </c>
      <c r="D785" s="2" t="str">
        <f t="shared" si="11"/>
        <v>Error?</v>
      </c>
    </row>
    <row r="786" spans="1:4" x14ac:dyDescent="0.2">
      <c r="A786" s="5">
        <v>725</v>
      </c>
      <c r="B786" s="138">
        <f>'Expenditures 15-22'!D44</f>
        <v>16227</v>
      </c>
      <c r="D786" s="2" t="str">
        <f t="shared" si="11"/>
        <v>Error?</v>
      </c>
    </row>
    <row r="787" spans="1:4" x14ac:dyDescent="0.2">
      <c r="A787" s="5">
        <v>726</v>
      </c>
      <c r="B787" s="138">
        <f>'Expenditures 15-22'!D45</f>
        <v>38417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54644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36638</v>
      </c>
      <c r="D791" s="2" t="str">
        <f t="shared" si="11"/>
        <v>Error?</v>
      </c>
    </row>
    <row r="792" spans="1:4" x14ac:dyDescent="0.2">
      <c r="A792" s="5">
        <v>731</v>
      </c>
      <c r="B792" s="138">
        <f>'Expenditures 15-22'!D53</f>
        <v>36638</v>
      </c>
      <c r="C792" s="2" t="s">
        <v>573</v>
      </c>
      <c r="D792" s="2" t="str">
        <f t="shared" si="11"/>
        <v>Error?</v>
      </c>
    </row>
    <row r="793" spans="1:4" x14ac:dyDescent="0.2">
      <c r="A793" s="5">
        <v>732</v>
      </c>
      <c r="B793" s="138">
        <f>'Expenditures 15-22'!D55</f>
        <v>203941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203941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29804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35335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65139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475755</v>
      </c>
      <c r="C813" s="2" t="s">
        <v>573</v>
      </c>
      <c r="D813" s="2" t="str">
        <f t="shared" si="11"/>
        <v>Error?</v>
      </c>
    </row>
    <row r="814" spans="1:4" x14ac:dyDescent="0.2">
      <c r="A814" s="5">
        <v>753</v>
      </c>
      <c r="B814" s="138">
        <f>'Expenditures 15-22'!D75</f>
        <v>28102</v>
      </c>
      <c r="D814" s="2" t="str">
        <f t="shared" si="11"/>
        <v>Error?</v>
      </c>
    </row>
    <row r="815" spans="1:4" x14ac:dyDescent="0.2">
      <c r="A815" s="5">
        <v>754</v>
      </c>
      <c r="B815" s="138">
        <f>'Expenditures 15-22'!D114</f>
        <v>2622776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218758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68507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287500</v>
      </c>
      <c r="C836" s="2" t="s">
        <v>573</v>
      </c>
      <c r="D836" s="2" t="str">
        <f t="shared" si="12"/>
        <v>Error?</v>
      </c>
    </row>
    <row r="837" spans="1:4" x14ac:dyDescent="0.2">
      <c r="A837" s="5">
        <v>776</v>
      </c>
      <c r="B837" s="138">
        <f>'Expenditures 15-22'!E36</f>
        <v>21534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9504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31038</v>
      </c>
      <c r="C843" s="2" t="s">
        <v>573</v>
      </c>
      <c r="D843" s="2" t="str">
        <f t="shared" si="12"/>
        <v>Error?</v>
      </c>
    </row>
    <row r="844" spans="1:4" x14ac:dyDescent="0.2">
      <c r="A844" s="5">
        <v>783</v>
      </c>
      <c r="B844" s="138">
        <f>'Expenditures 15-22'!E44</f>
        <v>23878</v>
      </c>
      <c r="D844" s="2" t="str">
        <f t="shared" si="12"/>
        <v>Error?</v>
      </c>
    </row>
    <row r="845" spans="1:4" x14ac:dyDescent="0.2">
      <c r="A845" s="5">
        <v>784</v>
      </c>
      <c r="B845" s="138">
        <f>'Expenditures 15-22'!E45</f>
        <v>200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24078</v>
      </c>
      <c r="C847" s="2" t="s">
        <v>573</v>
      </c>
      <c r="D847" s="2" t="str">
        <f t="shared" si="12"/>
        <v>Error?</v>
      </c>
    </row>
    <row r="848" spans="1:4" x14ac:dyDescent="0.2">
      <c r="A848" s="5">
        <v>787</v>
      </c>
      <c r="B848" s="138">
        <f>'Expenditures 15-22'!E49</f>
        <v>73877</v>
      </c>
      <c r="D848" s="2" t="str">
        <f t="shared" si="12"/>
        <v>Error?</v>
      </c>
    </row>
    <row r="849" spans="1:4" x14ac:dyDescent="0.2">
      <c r="A849" s="5">
        <v>788</v>
      </c>
      <c r="B849" s="138">
        <f>'Expenditures 15-22'!E50</f>
        <v>5206</v>
      </c>
      <c r="D849" s="2" t="str">
        <f t="shared" si="12"/>
        <v>Error?</v>
      </c>
    </row>
    <row r="850" spans="1:4" x14ac:dyDescent="0.2">
      <c r="A850" s="5">
        <v>789</v>
      </c>
      <c r="B850" s="138">
        <f>'Expenditures 15-22'!E53</f>
        <v>79083</v>
      </c>
      <c r="C850" s="2" t="s">
        <v>573</v>
      </c>
      <c r="D850" s="2" t="str">
        <f t="shared" si="12"/>
        <v>Error?</v>
      </c>
    </row>
    <row r="851" spans="1:4" x14ac:dyDescent="0.2">
      <c r="A851" s="5">
        <v>790</v>
      </c>
      <c r="B851" s="138">
        <f>'Expenditures 15-22'!E55</f>
        <v>16143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16143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135368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8861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144229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294571</v>
      </c>
      <c r="C871" s="2" t="s">
        <v>573</v>
      </c>
      <c r="D871" s="2" t="str">
        <f t="shared" si="12"/>
        <v>Error?</v>
      </c>
    </row>
    <row r="872" spans="1:4" x14ac:dyDescent="0.2">
      <c r="A872" s="5">
        <v>811</v>
      </c>
      <c r="B872" s="138">
        <f>'Expenditures 15-22'!E75</f>
        <v>350</v>
      </c>
      <c r="D872" s="2" t="str">
        <f t="shared" si="12"/>
        <v>Error?</v>
      </c>
    </row>
    <row r="873" spans="1:4" x14ac:dyDescent="0.2">
      <c r="A873" s="5">
        <v>812</v>
      </c>
      <c r="B873" s="138">
        <f>'Expenditures 15-22'!E114</f>
        <v>582421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416072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31474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448504</v>
      </c>
      <c r="C894" s="2" t="s">
        <v>573</v>
      </c>
      <c r="D894" s="2" t="str">
        <f t="shared" si="12"/>
        <v>Error?</v>
      </c>
    </row>
    <row r="895" spans="1:4" x14ac:dyDescent="0.2">
      <c r="A895" s="5">
        <v>834</v>
      </c>
      <c r="B895" s="138">
        <f>'Expenditures 15-22'!F36</f>
        <v>134</v>
      </c>
      <c r="D895" s="2" t="str">
        <f t="shared" ref="D895:D958" si="13">IF(ISBLANK(B895),"OK",IF(A895-B895=0,"OK","Error?"))</f>
        <v>Error?</v>
      </c>
    </row>
    <row r="896" spans="1:4" x14ac:dyDescent="0.2">
      <c r="A896" s="5">
        <v>835</v>
      </c>
      <c r="B896" s="138">
        <f>'Expenditures 15-22'!F37</f>
        <v>1463</v>
      </c>
      <c r="D896" s="2" t="str">
        <f t="shared" si="13"/>
        <v>Error?</v>
      </c>
    </row>
    <row r="897" spans="1:4" x14ac:dyDescent="0.2">
      <c r="A897" s="5">
        <v>836</v>
      </c>
      <c r="B897" s="138">
        <f>'Expenditures 15-22'!F38</f>
        <v>2170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3767</v>
      </c>
      <c r="C901" s="2" t="s">
        <v>573</v>
      </c>
      <c r="D901" s="2" t="str">
        <f t="shared" si="13"/>
        <v>Error?</v>
      </c>
    </row>
    <row r="902" spans="1:4" x14ac:dyDescent="0.2">
      <c r="A902" s="5">
        <v>841</v>
      </c>
      <c r="B902" s="138">
        <f>'Expenditures 15-22'!F44</f>
        <v>43222</v>
      </c>
      <c r="D902" s="2" t="str">
        <f t="shared" si="13"/>
        <v>Error?</v>
      </c>
    </row>
    <row r="903" spans="1:4" x14ac:dyDescent="0.2">
      <c r="A903" s="5">
        <v>842</v>
      </c>
      <c r="B903" s="138">
        <f>'Expenditures 15-22'!F45</f>
        <v>25400</v>
      </c>
      <c r="D903" s="2" t="str">
        <f t="shared" si="13"/>
        <v>Error?</v>
      </c>
    </row>
    <row r="904" spans="1:4" x14ac:dyDescent="0.2">
      <c r="A904" s="5">
        <v>843</v>
      </c>
      <c r="B904" s="138">
        <f>'Expenditures 15-22'!F46</f>
        <v>560</v>
      </c>
      <c r="D904" s="2" t="str">
        <f t="shared" si="13"/>
        <v>Error?</v>
      </c>
    </row>
    <row r="905" spans="1:4" x14ac:dyDescent="0.2">
      <c r="A905" s="5">
        <v>844</v>
      </c>
      <c r="B905" s="138">
        <f>'Expenditures 15-22'!F47</f>
        <v>69182</v>
      </c>
      <c r="C905" s="2" t="s">
        <v>573</v>
      </c>
      <c r="D905" s="2" t="str">
        <f t="shared" si="13"/>
        <v>Error?</v>
      </c>
    </row>
    <row r="906" spans="1:4" x14ac:dyDescent="0.2">
      <c r="A906" s="5">
        <v>845</v>
      </c>
      <c r="B906" s="138">
        <f>'Expenditures 15-22'!F49</f>
        <v>1587</v>
      </c>
      <c r="D906" s="2" t="str">
        <f t="shared" si="13"/>
        <v>Error?</v>
      </c>
    </row>
    <row r="907" spans="1:4" x14ac:dyDescent="0.2">
      <c r="A907" s="5">
        <v>846</v>
      </c>
      <c r="B907" s="138">
        <f>'Expenditures 15-22'!F50</f>
        <v>46137</v>
      </c>
      <c r="D907" s="2" t="str">
        <f t="shared" si="13"/>
        <v>Error?</v>
      </c>
    </row>
    <row r="908" spans="1:4" x14ac:dyDescent="0.2">
      <c r="A908" s="5">
        <v>847</v>
      </c>
      <c r="B908" s="138">
        <f>'Expenditures 15-22'!F53</f>
        <v>47724</v>
      </c>
      <c r="C908" s="2" t="s">
        <v>573</v>
      </c>
      <c r="D908" s="2" t="str">
        <f t="shared" si="13"/>
        <v>Error?</v>
      </c>
    </row>
    <row r="909" spans="1:4" x14ac:dyDescent="0.2">
      <c r="A909" s="5">
        <v>848</v>
      </c>
      <c r="B909" s="138">
        <f>'Expenditures 15-22'!F55</f>
        <v>24488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24488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3661</v>
      </c>
      <c r="D913" s="2" t="str">
        <f t="shared" si="13"/>
        <v>Error?</v>
      </c>
    </row>
    <row r="914" spans="1:4" x14ac:dyDescent="0.2">
      <c r="A914" s="5">
        <v>853</v>
      </c>
      <c r="B914" s="138">
        <f>'Expenditures 15-22'!F61</f>
        <v>135725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505831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645217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790378</v>
      </c>
      <c r="C929" s="2" t="s">
        <v>573</v>
      </c>
      <c r="D929" s="2" t="str">
        <f t="shared" si="13"/>
        <v>Error?</v>
      </c>
    </row>
    <row r="930" spans="1:4" x14ac:dyDescent="0.2">
      <c r="A930" s="5">
        <v>869</v>
      </c>
      <c r="B930" s="138">
        <f>'Expenditures 15-22'!F75</f>
        <v>8662</v>
      </c>
      <c r="D930" s="2" t="str">
        <f t="shared" si="13"/>
        <v>Error?</v>
      </c>
    </row>
    <row r="931" spans="1:4" x14ac:dyDescent="0.2">
      <c r="A931" s="5">
        <v>870</v>
      </c>
      <c r="B931" s="138">
        <f>'Expenditures 15-22'!F114</f>
        <v>1247544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102694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102694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2990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2990</v>
      </c>
      <c r="C959" s="2" t="s">
        <v>573</v>
      </c>
      <c r="D959" s="2" t="str">
        <f t="shared" ref="D959:D1022" si="14">IF(ISBLANK(B959),"OK",IF(A959-B959=0,"OK","Error?"))</f>
        <v>Error?</v>
      </c>
    </row>
    <row r="960" spans="1:4" x14ac:dyDescent="0.2">
      <c r="A960" s="5">
        <v>899</v>
      </c>
      <c r="B960" s="138">
        <f>'Expenditures 15-22'!G44</f>
        <v>45860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45860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48850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151544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6025</v>
      </c>
      <c r="D1022" s="2" t="str">
        <f t="shared" si="14"/>
        <v>Error?</v>
      </c>
    </row>
    <row r="1023" spans="1:4" x14ac:dyDescent="0.2">
      <c r="A1023" s="5">
        <v>962</v>
      </c>
      <c r="B1023" s="138">
        <f>'Expenditures 15-22'!H50</f>
        <v>1513</v>
      </c>
      <c r="D1023" s="2" t="str">
        <f t="shared" ref="D1023:D1086" si="15">IF(ISBLANK(B1023),"OK",IF(A1023-B1023=0,"OK","Error?"))</f>
        <v>Error?</v>
      </c>
    </row>
    <row r="1024" spans="1:4" x14ac:dyDescent="0.2">
      <c r="A1024" s="5">
        <v>963</v>
      </c>
      <c r="B1024" s="138">
        <f>'Expenditures 15-22'!H53</f>
        <v>7538</v>
      </c>
      <c r="C1024" s="2" t="s">
        <v>573</v>
      </c>
      <c r="D1024" s="2" t="str">
        <f t="shared" si="15"/>
        <v>Error?</v>
      </c>
    </row>
    <row r="1025" spans="1:4" x14ac:dyDescent="0.2">
      <c r="A1025" s="5">
        <v>964</v>
      </c>
      <c r="B1025" s="138">
        <f>'Expenditures 15-22'!H55</f>
        <v>3416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3416</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10969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794929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806017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9923577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336676</v>
      </c>
      <c r="C1106" s="2" t="s">
        <v>573</v>
      </c>
      <c r="D1106" s="2" t="str">
        <f t="shared" si="16"/>
        <v>Error?</v>
      </c>
    </row>
    <row r="1107" spans="1:4" x14ac:dyDescent="0.2">
      <c r="A1107" s="5">
        <v>1046</v>
      </c>
      <c r="B1107" s="138">
        <f>'Expenditures 15-22'!K15</f>
        <v>7421</v>
      </c>
      <c r="C1107" s="2" t="s">
        <v>573</v>
      </c>
      <c r="D1107" s="2" t="str">
        <f t="shared" si="16"/>
        <v>Error?</v>
      </c>
    </row>
    <row r="1108" spans="1:4" x14ac:dyDescent="0.2">
      <c r="A1108" s="5">
        <v>1047</v>
      </c>
      <c r="B1108" s="138">
        <f>'Expenditures 15-22'!K33</f>
        <v>11971923</v>
      </c>
      <c r="C1108" s="2" t="s">
        <v>573</v>
      </c>
      <c r="D1108" s="2" t="str">
        <f t="shared" si="16"/>
        <v>Error?</v>
      </c>
    </row>
    <row r="1109" spans="1:4" x14ac:dyDescent="0.2">
      <c r="A1109" s="5">
        <v>1048</v>
      </c>
      <c r="B1109" s="138">
        <f>'Expenditures 15-22'!K36</f>
        <v>208680</v>
      </c>
      <c r="C1109" s="2" t="s">
        <v>573</v>
      </c>
      <c r="D1109" s="2" t="str">
        <f t="shared" si="16"/>
        <v>Error?</v>
      </c>
    </row>
    <row r="1110" spans="1:4" x14ac:dyDescent="0.2">
      <c r="A1110" s="5">
        <v>1049</v>
      </c>
      <c r="B1110" s="138">
        <f>'Expenditures 15-22'!K37</f>
        <v>299989</v>
      </c>
      <c r="C1110" s="2" t="s">
        <v>573</v>
      </c>
      <c r="D1110" s="2" t="str">
        <f t="shared" si="16"/>
        <v>Error?</v>
      </c>
    </row>
    <row r="1111" spans="1:4" x14ac:dyDescent="0.2">
      <c r="A1111" s="5">
        <v>1050</v>
      </c>
      <c r="B1111" s="138">
        <f>'Expenditures 15-22'!K38</f>
        <v>63584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572253</v>
      </c>
      <c r="C1115" s="2" t="s">
        <v>573</v>
      </c>
      <c r="D1115" s="2" t="str">
        <f t="shared" si="16"/>
        <v>Error?</v>
      </c>
    </row>
    <row r="1116" spans="1:4" x14ac:dyDescent="0.2">
      <c r="A1116" s="5">
        <v>1055</v>
      </c>
      <c r="B1116" s="138">
        <f>'Expenditures 15-22'!K44</f>
        <v>174223</v>
      </c>
      <c r="C1116" s="2" t="s">
        <v>573</v>
      </c>
      <c r="D1116" s="2" t="str">
        <f t="shared" si="16"/>
        <v>Error?</v>
      </c>
    </row>
    <row r="1117" spans="1:4" x14ac:dyDescent="0.2">
      <c r="A1117" s="5">
        <v>1056</v>
      </c>
      <c r="B1117" s="138">
        <f>'Expenditures 15-22'!K45</f>
        <v>222572</v>
      </c>
      <c r="C1117" s="2" t="s">
        <v>573</v>
      </c>
      <c r="D1117" s="2" t="str">
        <f t="shared" si="16"/>
        <v>Error?</v>
      </c>
    </row>
    <row r="1118" spans="1:4" x14ac:dyDescent="0.2">
      <c r="A1118" s="5">
        <v>1057</v>
      </c>
      <c r="B1118" s="138">
        <f>'Expenditures 15-22'!K46</f>
        <v>560</v>
      </c>
      <c r="C1118" s="2" t="s">
        <v>573</v>
      </c>
      <c r="D1118" s="2" t="str">
        <f t="shared" si="16"/>
        <v>Error?</v>
      </c>
    </row>
    <row r="1119" spans="1:4" x14ac:dyDescent="0.2">
      <c r="A1119" s="5">
        <v>1058</v>
      </c>
      <c r="B1119" s="138">
        <f>'Expenditures 15-22'!K47</f>
        <v>397355</v>
      </c>
      <c r="C1119" s="2" t="s">
        <v>573</v>
      </c>
      <c r="D1119" s="2" t="str">
        <f t="shared" si="16"/>
        <v>Error?</v>
      </c>
    </row>
    <row r="1120" spans="1:4" x14ac:dyDescent="0.2">
      <c r="A1120" s="5">
        <v>1059</v>
      </c>
      <c r="B1120" s="138">
        <f>'Expenditures 15-22'!K49</f>
        <v>81489</v>
      </c>
      <c r="C1120" s="2" t="s">
        <v>573</v>
      </c>
      <c r="D1120" s="2" t="str">
        <f t="shared" si="16"/>
        <v>Error?</v>
      </c>
    </row>
    <row r="1121" spans="1:4" x14ac:dyDescent="0.2">
      <c r="A1121" s="5">
        <v>1060</v>
      </c>
      <c r="B1121" s="138">
        <f>'Expenditures 15-22'!K50</f>
        <v>336373</v>
      </c>
      <c r="C1121" s="2" t="s">
        <v>573</v>
      </c>
      <c r="D1121" s="2" t="str">
        <f t="shared" si="16"/>
        <v>Error?</v>
      </c>
    </row>
    <row r="1122" spans="1:4" x14ac:dyDescent="0.2">
      <c r="A1122" s="5">
        <v>1061</v>
      </c>
      <c r="B1122" s="138">
        <f>'Expenditures 15-22'!K53</f>
        <v>417862</v>
      </c>
      <c r="C1122" s="2" t="s">
        <v>573</v>
      </c>
      <c r="D1122" s="2" t="str">
        <f t="shared" si="16"/>
        <v>Error?</v>
      </c>
    </row>
    <row r="1123" spans="1:4" x14ac:dyDescent="0.2">
      <c r="A1123" s="5">
        <v>1062</v>
      </c>
      <c r="B1123" s="138">
        <f>'Expenditures 15-22'!K55</f>
        <v>1277916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1277916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387237</v>
      </c>
      <c r="C1127" s="2" t="s">
        <v>573</v>
      </c>
      <c r="D1127" s="2" t="str">
        <f t="shared" si="16"/>
        <v>Error?</v>
      </c>
    </row>
    <row r="1128" spans="1:4" x14ac:dyDescent="0.2">
      <c r="A1128" s="5">
        <v>1067</v>
      </c>
      <c r="B1128" s="138">
        <f>'Expenditures 15-22'!K61</f>
        <v>135725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902147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1425109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4090495</v>
      </c>
      <c r="C1143" s="2" t="s">
        <v>573</v>
      </c>
      <c r="D1143" s="2" t="str">
        <f t="shared" si="16"/>
        <v>Error?</v>
      </c>
    </row>
    <row r="1144" spans="1:4" x14ac:dyDescent="0.2">
      <c r="A1144" s="5">
        <v>1083</v>
      </c>
      <c r="B1144" s="138">
        <f>'Expenditures 15-22'!K75</f>
        <v>171688</v>
      </c>
      <c r="C1144" s="2" t="s">
        <v>573</v>
      </c>
      <c r="D1144" s="2" t="str">
        <f t="shared" si="16"/>
        <v>Error?</v>
      </c>
    </row>
    <row r="1145" spans="1:4" x14ac:dyDescent="0.2">
      <c r="A1145" s="5">
        <v>1084</v>
      </c>
      <c r="B1145" s="138">
        <f>'Expenditures 15-22'!K102</f>
        <v>794929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17029035</v>
      </c>
      <c r="C1152" s="2" t="s">
        <v>573</v>
      </c>
      <c r="D1152" s="2" t="str">
        <f t="shared" si="17"/>
        <v>Error?</v>
      </c>
    </row>
    <row r="1153" spans="1:4" x14ac:dyDescent="0.2">
      <c r="A1153" s="5">
        <v>1092</v>
      </c>
      <c r="B1153" s="138">
        <f>'Expenditures 15-22'!K115</f>
        <v>3508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556746</v>
      </c>
      <c r="D1221" s="2" t="str">
        <f t="shared" si="18"/>
        <v>Error?</v>
      </c>
    </row>
    <row r="1222" spans="1:4" x14ac:dyDescent="0.2">
      <c r="A1222" s="10">
        <v>1161</v>
      </c>
      <c r="D1222" s="2" t="str">
        <f t="shared" si="18"/>
        <v>OK</v>
      </c>
    </row>
    <row r="1223" spans="1:4" x14ac:dyDescent="0.2">
      <c r="A1223" s="5">
        <v>1162</v>
      </c>
      <c r="B1223" s="138">
        <f>'Expenditures 15-22'!C127</f>
        <v>556746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556746</v>
      </c>
      <c r="C1225" s="2" t="s">
        <v>573</v>
      </c>
      <c r="D1225" s="2" t="str">
        <f t="shared" si="18"/>
        <v>Error?</v>
      </c>
    </row>
    <row r="1226" spans="1:4" x14ac:dyDescent="0.2">
      <c r="A1226" s="5">
        <v>1165</v>
      </c>
      <c r="B1226" s="138">
        <f>'Expenditures 15-22'!C151</f>
        <v>556746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96537</v>
      </c>
      <c r="D1229" s="2" t="str">
        <f t="shared" si="18"/>
        <v>Error?</v>
      </c>
    </row>
    <row r="1230" spans="1:4" x14ac:dyDescent="0.2">
      <c r="A1230" s="10">
        <v>1169</v>
      </c>
      <c r="D1230" s="2" t="str">
        <f t="shared" si="18"/>
        <v>OK</v>
      </c>
    </row>
    <row r="1231" spans="1:4" x14ac:dyDescent="0.2">
      <c r="A1231" s="5">
        <v>1170</v>
      </c>
      <c r="B1231" s="138">
        <f>'Expenditures 15-22'!D127</f>
        <v>96537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96537</v>
      </c>
      <c r="C1233" s="2" t="s">
        <v>573</v>
      </c>
      <c r="D1233" s="2" t="str">
        <f t="shared" si="18"/>
        <v>Error?</v>
      </c>
    </row>
    <row r="1234" spans="1:4" x14ac:dyDescent="0.2">
      <c r="A1234" s="5">
        <v>1173</v>
      </c>
      <c r="B1234" s="138">
        <f>'Expenditures 15-22'!D151</f>
        <v>96537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206995</v>
      </c>
      <c r="D1237" s="2" t="str">
        <f t="shared" si="18"/>
        <v>Error?</v>
      </c>
    </row>
    <row r="1238" spans="1:4" x14ac:dyDescent="0.2">
      <c r="A1238" s="10">
        <v>1177</v>
      </c>
      <c r="D1238" s="2" t="str">
        <f t="shared" si="18"/>
        <v>OK</v>
      </c>
    </row>
    <row r="1239" spans="1:4" x14ac:dyDescent="0.2">
      <c r="A1239" s="5">
        <v>1178</v>
      </c>
      <c r="B1239" s="138">
        <f>'Expenditures 15-22'!E127</f>
        <v>206995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206995</v>
      </c>
      <c r="C1241" s="2" t="s">
        <v>573</v>
      </c>
      <c r="D1241" s="2" t="str">
        <f t="shared" si="18"/>
        <v>Error?</v>
      </c>
    </row>
    <row r="1242" spans="1:4" x14ac:dyDescent="0.2">
      <c r="A1242" s="5">
        <v>1181</v>
      </c>
      <c r="B1242" s="138">
        <f>'Expenditures 15-22'!E151</f>
        <v>206995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538440</v>
      </c>
      <c r="D1245" s="2" t="str">
        <f t="shared" si="18"/>
        <v>Error?</v>
      </c>
    </row>
    <row r="1246" spans="1:4" x14ac:dyDescent="0.2">
      <c r="A1246" s="10">
        <v>1185</v>
      </c>
      <c r="D1246" s="2" t="str">
        <f t="shared" si="18"/>
        <v>OK</v>
      </c>
    </row>
    <row r="1247" spans="1:4" x14ac:dyDescent="0.2">
      <c r="A1247" s="5">
        <v>1186</v>
      </c>
      <c r="B1247" s="138">
        <f>'Expenditures 15-22'!F127</f>
        <v>538440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538440</v>
      </c>
      <c r="C1249" s="2" t="s">
        <v>573</v>
      </c>
      <c r="D1249" s="2" t="str">
        <f t="shared" si="18"/>
        <v>Error?</v>
      </c>
    </row>
    <row r="1250" spans="1:4" x14ac:dyDescent="0.2">
      <c r="A1250" s="5">
        <v>1189</v>
      </c>
      <c r="B1250" s="138">
        <f>'Expenditures 15-22'!F151</f>
        <v>538440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3032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3032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3032</v>
      </c>
      <c r="C1258" s="2" t="s">
        <v>573</v>
      </c>
      <c r="D1258" s="2" t="str">
        <f t="shared" si="18"/>
        <v>Error?</v>
      </c>
    </row>
    <row r="1259" spans="1:4" x14ac:dyDescent="0.2">
      <c r="A1259" s="5">
        <v>1198</v>
      </c>
      <c r="B1259" s="138">
        <f>'Expenditures 15-22'!G151</f>
        <v>3032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1401750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1401750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1401750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1401750</v>
      </c>
      <c r="C1288" s="2" t="s">
        <v>573</v>
      </c>
      <c r="D1288" s="2" t="str">
        <f t="shared" si="19"/>
        <v>Error?</v>
      </c>
    </row>
    <row r="1289" spans="1:4" x14ac:dyDescent="0.2">
      <c r="A1289" s="5">
        <v>1228</v>
      </c>
      <c r="B1289" s="138">
        <f>'Expenditures 15-22'!K152</f>
        <v>1905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1316749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590000</v>
      </c>
      <c r="D1315" s="2" t="str">
        <f t="shared" si="19"/>
        <v>Error?</v>
      </c>
    </row>
    <row r="1316" spans="1:4" x14ac:dyDescent="0.2">
      <c r="A1316" s="5">
        <v>1255</v>
      </c>
      <c r="B1316" s="138">
        <f>'Expenditures 15-22'!H171</f>
        <v>2500</v>
      </c>
      <c r="D1316" s="2" t="str">
        <f t="shared" si="19"/>
        <v>Error?</v>
      </c>
    </row>
    <row r="1317" spans="1:4" x14ac:dyDescent="0.2">
      <c r="A1317" s="5">
        <v>1256</v>
      </c>
      <c r="B1317" s="138">
        <f>'Expenditures 15-22'!H172</f>
        <v>1909249</v>
      </c>
      <c r="C1317" s="2" t="s">
        <v>573</v>
      </c>
      <c r="D1317" s="2" t="str">
        <f t="shared" si="19"/>
        <v>Error?</v>
      </c>
    </row>
    <row r="1318" spans="1:4" x14ac:dyDescent="0.2">
      <c r="A1318" s="5">
        <v>1257</v>
      </c>
      <c r="B1318" s="138">
        <f>'Expenditures 15-22'!H174</f>
        <v>1909249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1316749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590000</v>
      </c>
      <c r="C1329" s="2" t="s">
        <v>573</v>
      </c>
      <c r="D1329" s="2" t="str">
        <f t="shared" si="19"/>
        <v>Error?</v>
      </c>
    </row>
    <row r="1330" spans="1:4" x14ac:dyDescent="0.2">
      <c r="A1330" s="5">
        <v>1269</v>
      </c>
      <c r="B1330" s="138">
        <f>'Expenditures 15-22'!K171</f>
        <v>2500</v>
      </c>
      <c r="C1330" s="2" t="s">
        <v>573</v>
      </c>
      <c r="D1330" s="2" t="str">
        <f t="shared" si="19"/>
        <v>Error?</v>
      </c>
    </row>
    <row r="1331" spans="1:4" x14ac:dyDescent="0.2">
      <c r="A1331" s="5">
        <v>1270</v>
      </c>
      <c r="B1331" s="138">
        <f>'Expenditures 15-22'!K172</f>
        <v>1909249</v>
      </c>
      <c r="C1331" s="2" t="s">
        <v>573</v>
      </c>
      <c r="D1331" s="2" t="str">
        <f t="shared" si="19"/>
        <v>Error?</v>
      </c>
    </row>
    <row r="1332" spans="1:4" x14ac:dyDescent="0.2">
      <c r="A1332" s="5">
        <v>1271</v>
      </c>
      <c r="B1332" s="138">
        <f>'Expenditures 15-22'!K174</f>
        <v>1909249</v>
      </c>
      <c r="C1332" s="2" t="s">
        <v>573</v>
      </c>
      <c r="D1332" s="2" t="str">
        <f t="shared" si="19"/>
        <v>Error?</v>
      </c>
    </row>
    <row r="1333" spans="1:4" x14ac:dyDescent="0.2">
      <c r="A1333" s="5">
        <v>1272</v>
      </c>
      <c r="B1333" s="138">
        <f>'Expenditures 15-22'!K175</f>
        <v>38</v>
      </c>
      <c r="C1333" s="2" t="s">
        <v>573</v>
      </c>
      <c r="D1333" s="2" t="str">
        <f t="shared" si="19"/>
        <v>Error?</v>
      </c>
    </row>
    <row r="1334" spans="1:4" x14ac:dyDescent="0.2">
      <c r="A1334" s="10">
        <v>1273</v>
      </c>
      <c r="D1334" s="2" t="str">
        <f t="shared" si="19"/>
        <v>OK</v>
      </c>
    </row>
    <row r="1335" spans="1:4" x14ac:dyDescent="0.2">
      <c r="A1335" s="5">
        <v>1274</v>
      </c>
      <c r="B1335" s="138">
        <f>'Expenditures 15-22'!C182</f>
        <v>650908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650908</v>
      </c>
      <c r="C1339" s="2" t="s">
        <v>573</v>
      </c>
      <c r="D1339" s="2" t="str">
        <f t="shared" si="19"/>
        <v>Error?</v>
      </c>
    </row>
    <row r="1340" spans="1:4" x14ac:dyDescent="0.2">
      <c r="A1340" s="5">
        <v>1279</v>
      </c>
      <c r="B1340" s="138">
        <f>'Expenditures 15-22'!C210</f>
        <v>650908</v>
      </c>
      <c r="C1340" s="2" t="s">
        <v>573</v>
      </c>
      <c r="D1340" s="2" t="str">
        <f t="shared" si="19"/>
        <v>Error?</v>
      </c>
    </row>
    <row r="1341" spans="1:4" x14ac:dyDescent="0.2">
      <c r="A1341" s="5">
        <v>1280</v>
      </c>
      <c r="B1341" s="138">
        <f>'Expenditures 15-22'!D182</f>
        <v>45811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45811</v>
      </c>
      <c r="C1345" s="2" t="s">
        <v>573</v>
      </c>
      <c r="D1345" s="2" t="str">
        <f t="shared" si="20"/>
        <v>Error?</v>
      </c>
    </row>
    <row r="1346" spans="1:4" x14ac:dyDescent="0.2">
      <c r="A1346" s="5">
        <v>1285</v>
      </c>
      <c r="B1346" s="138">
        <f>'Expenditures 15-22'!D210</f>
        <v>45811</v>
      </c>
      <c r="C1346" s="2" t="s">
        <v>573</v>
      </c>
      <c r="D1346" s="2" t="str">
        <f t="shared" si="20"/>
        <v>Error?</v>
      </c>
    </row>
    <row r="1347" spans="1:4" x14ac:dyDescent="0.2">
      <c r="A1347" s="5">
        <v>1286</v>
      </c>
      <c r="B1347" s="138">
        <f>'Expenditures 15-22'!E182</f>
        <v>26405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26405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26405</v>
      </c>
      <c r="C1353" s="2" t="s">
        <v>573</v>
      </c>
      <c r="D1353" s="2" t="str">
        <f t="shared" si="20"/>
        <v>Error?</v>
      </c>
    </row>
    <row r="1354" spans="1:4" x14ac:dyDescent="0.2">
      <c r="A1354" s="5">
        <v>1293</v>
      </c>
      <c r="B1354" s="138">
        <f>'Expenditures 15-22'!F182</f>
        <v>206785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206785</v>
      </c>
      <c r="C1358" s="2" t="s">
        <v>573</v>
      </c>
      <c r="D1358" s="2" t="str">
        <f t="shared" si="20"/>
        <v>Error?</v>
      </c>
    </row>
    <row r="1359" spans="1:4" x14ac:dyDescent="0.2">
      <c r="A1359" s="5">
        <v>1298</v>
      </c>
      <c r="B1359" s="138">
        <f>'Expenditures 15-22'!F210</f>
        <v>206785</v>
      </c>
      <c r="C1359" s="2" t="s">
        <v>573</v>
      </c>
      <c r="D1359" s="2" t="str">
        <f t="shared" si="20"/>
        <v>Error?</v>
      </c>
    </row>
    <row r="1360" spans="1:4" x14ac:dyDescent="0.2">
      <c r="A1360" s="5">
        <v>1299</v>
      </c>
      <c r="B1360" s="138">
        <f>'Expenditures 15-22'!G182</f>
        <v>288846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288846</v>
      </c>
      <c r="C1364" s="2" t="s">
        <v>573</v>
      </c>
      <c r="D1364" s="2" t="str">
        <f t="shared" si="20"/>
        <v>Error?</v>
      </c>
    </row>
    <row r="1365" spans="1:4" x14ac:dyDescent="0.2">
      <c r="A1365" s="5">
        <v>1304</v>
      </c>
      <c r="B1365" s="138">
        <f>'Expenditures 15-22'!G210</f>
        <v>288846</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1218755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1218755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1218755</v>
      </c>
      <c r="C1388" s="2" t="s">
        <v>573</v>
      </c>
      <c r="D1388" s="2" t="str">
        <f t="shared" si="20"/>
        <v>Error?</v>
      </c>
    </row>
    <row r="1389" spans="1:4" x14ac:dyDescent="0.2">
      <c r="A1389" s="5">
        <v>1328</v>
      </c>
      <c r="B1389" s="138">
        <f>'Expenditures 15-22'!K211</f>
        <v>11337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7733</v>
      </c>
      <c r="D1408" s="2" t="str">
        <f t="shared" si="21"/>
        <v>Error?</v>
      </c>
    </row>
    <row r="1409" spans="1:4" x14ac:dyDescent="0.2">
      <c r="A1409" s="5">
        <v>1348</v>
      </c>
      <c r="B1409" s="138">
        <f>'Expenditures 15-22'!D224</f>
        <v>95</v>
      </c>
      <c r="D1409" s="2" t="str">
        <f t="shared" si="21"/>
        <v>Error?</v>
      </c>
    </row>
    <row r="1410" spans="1:4" x14ac:dyDescent="0.2">
      <c r="A1410" s="5">
        <v>1349</v>
      </c>
      <c r="B1410" s="138">
        <f>'Expenditures 15-22'!D229</f>
        <v>180807</v>
      </c>
      <c r="C1410" s="2" t="s">
        <v>573</v>
      </c>
      <c r="D1410" s="2" t="str">
        <f t="shared" si="21"/>
        <v>Error?</v>
      </c>
    </row>
    <row r="1411" spans="1:4" x14ac:dyDescent="0.2">
      <c r="A1411" s="5">
        <v>1350</v>
      </c>
      <c r="B1411" s="138">
        <f>'Expenditures 15-22'!D232</f>
        <v>4390</v>
      </c>
      <c r="D1411" s="2" t="str">
        <f t="shared" si="21"/>
        <v>Error?</v>
      </c>
    </row>
    <row r="1412" spans="1:4" x14ac:dyDescent="0.2">
      <c r="A1412" s="5">
        <v>1351</v>
      </c>
      <c r="B1412" s="138">
        <f>'Expenditures 15-22'!D233</f>
        <v>6420</v>
      </c>
      <c r="D1412" s="2" t="str">
        <f t="shared" si="21"/>
        <v>Error?</v>
      </c>
    </row>
    <row r="1413" spans="1:4" x14ac:dyDescent="0.2">
      <c r="A1413" s="5">
        <v>1352</v>
      </c>
      <c r="B1413" s="138">
        <f>'Expenditures 15-22'!D234</f>
        <v>3645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14455</v>
      </c>
      <c r="C1417" s="2" t="s">
        <v>573</v>
      </c>
      <c r="D1417" s="2" t="str">
        <f t="shared" si="21"/>
        <v>Error?</v>
      </c>
    </row>
    <row r="1418" spans="1:4" x14ac:dyDescent="0.2">
      <c r="A1418" s="5">
        <v>1357</v>
      </c>
      <c r="B1418" s="138">
        <f>'Expenditures 15-22'!D240</f>
        <v>648</v>
      </c>
      <c r="D1418" s="2" t="str">
        <f t="shared" si="21"/>
        <v>Error?</v>
      </c>
    </row>
    <row r="1419" spans="1:4" x14ac:dyDescent="0.2">
      <c r="A1419" s="5">
        <v>1358</v>
      </c>
      <c r="B1419" s="138">
        <f>'Expenditures 15-22'!D241</f>
        <v>7899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8547</v>
      </c>
      <c r="C1421" s="2" t="s">
        <v>573</v>
      </c>
      <c r="D1421" s="2" t="str">
        <f t="shared" si="21"/>
        <v>Error?</v>
      </c>
    </row>
    <row r="1422" spans="1:4" x14ac:dyDescent="0.2">
      <c r="A1422" s="5">
        <v>1361</v>
      </c>
      <c r="B1422" s="138">
        <f>'Expenditures 15-22'!D245</f>
        <v>85000</v>
      </c>
      <c r="D1422" s="2" t="str">
        <f t="shared" si="21"/>
        <v>Error?</v>
      </c>
    </row>
    <row r="1423" spans="1:4" x14ac:dyDescent="0.2">
      <c r="A1423" s="5">
        <v>1362</v>
      </c>
      <c r="B1423" s="138">
        <f>'Expenditures 15-22'!D246</f>
        <v>15662</v>
      </c>
      <c r="D1423" s="2" t="str">
        <f t="shared" si="21"/>
        <v>Error?</v>
      </c>
    </row>
    <row r="1424" spans="1:4" x14ac:dyDescent="0.2">
      <c r="A1424" s="5">
        <v>1363</v>
      </c>
      <c r="B1424" s="138">
        <f>'Expenditures 15-22'!D257</f>
        <v>100662</v>
      </c>
      <c r="C1424" s="2" t="s">
        <v>573</v>
      </c>
      <c r="D1424" s="2" t="str">
        <f t="shared" si="21"/>
        <v>Error?</v>
      </c>
    </row>
    <row r="1425" spans="1:4" x14ac:dyDescent="0.2">
      <c r="A1425" s="5">
        <v>1364</v>
      </c>
      <c r="B1425" s="138">
        <f>'Expenditures 15-22'!D259</f>
        <v>42080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42080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17231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102872</v>
      </c>
      <c r="D1431" s="2" t="str">
        <f t="shared" si="21"/>
        <v>Error?</v>
      </c>
    </row>
    <row r="1432" spans="1:4" x14ac:dyDescent="0.2">
      <c r="A1432" s="5">
        <v>1371</v>
      </c>
      <c r="B1432" s="138">
        <f>'Expenditures 15-22'!D267</f>
        <v>95937</v>
      </c>
      <c r="D1432" s="2" t="str">
        <f t="shared" si="21"/>
        <v>Error?</v>
      </c>
    </row>
    <row r="1433" spans="1:4" x14ac:dyDescent="0.2">
      <c r="A1433" s="5">
        <v>1372</v>
      </c>
      <c r="B1433" s="138">
        <f>'Expenditures 15-22'!D268</f>
        <v>49964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266004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431748</v>
      </c>
      <c r="C1446" s="2" t="s">
        <v>573</v>
      </c>
      <c r="D1446" s="2" t="str">
        <f t="shared" si="21"/>
        <v>Error?</v>
      </c>
    </row>
    <row r="1447" spans="1:4" x14ac:dyDescent="0.2">
      <c r="A1447" s="5">
        <v>1386</v>
      </c>
      <c r="B1447" s="138">
        <f>'Expenditures 15-22'!D280</f>
        <v>19582</v>
      </c>
      <c r="D1447" s="2" t="str">
        <f t="shared" si="21"/>
        <v>Error?</v>
      </c>
    </row>
    <row r="1448" spans="1:4" x14ac:dyDescent="0.2">
      <c r="A1448" s="5">
        <v>1387</v>
      </c>
      <c r="B1448" s="138">
        <f>'Expenditures 15-22'!D295</f>
        <v>632137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7733</v>
      </c>
      <c r="C1472" s="2" t="s">
        <v>573</v>
      </c>
      <c r="D1472" s="2" t="str">
        <f t="shared" si="22"/>
        <v>Error?</v>
      </c>
    </row>
    <row r="1473" spans="1:4" x14ac:dyDescent="0.2">
      <c r="A1473" s="5">
        <v>1412</v>
      </c>
      <c r="B1473" s="138">
        <f>'Expenditures 15-22'!K224</f>
        <v>95</v>
      </c>
      <c r="C1473" s="2" t="s">
        <v>573</v>
      </c>
      <c r="D1473" s="2" t="str">
        <f t="shared" si="22"/>
        <v>Error?</v>
      </c>
    </row>
    <row r="1474" spans="1:4" x14ac:dyDescent="0.2">
      <c r="A1474" s="5">
        <v>1413</v>
      </c>
      <c r="B1474" s="138">
        <f>'Expenditures 15-22'!K229</f>
        <v>180807</v>
      </c>
      <c r="C1474" s="2" t="s">
        <v>573</v>
      </c>
      <c r="D1474" s="2" t="str">
        <f t="shared" si="22"/>
        <v>Error?</v>
      </c>
    </row>
    <row r="1475" spans="1:4" x14ac:dyDescent="0.2">
      <c r="A1475" s="5">
        <v>1414</v>
      </c>
      <c r="B1475" s="138">
        <f>'Expenditures 15-22'!K232</f>
        <v>4390</v>
      </c>
      <c r="C1475" s="2" t="s">
        <v>573</v>
      </c>
      <c r="D1475" s="2" t="str">
        <f t="shared" si="22"/>
        <v>Error?</v>
      </c>
    </row>
    <row r="1476" spans="1:4" x14ac:dyDescent="0.2">
      <c r="A1476" s="5">
        <v>1415</v>
      </c>
      <c r="B1476" s="138">
        <f>'Expenditures 15-22'!K233</f>
        <v>6420</v>
      </c>
      <c r="C1476" s="2" t="s">
        <v>573</v>
      </c>
      <c r="D1476" s="2" t="str">
        <f t="shared" si="22"/>
        <v>Error?</v>
      </c>
    </row>
    <row r="1477" spans="1:4" x14ac:dyDescent="0.2">
      <c r="A1477" s="5">
        <v>1416</v>
      </c>
      <c r="B1477" s="138">
        <f>'Expenditures 15-22'!K234</f>
        <v>3645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14455</v>
      </c>
      <c r="C1481" s="2" t="s">
        <v>573</v>
      </c>
      <c r="D1481" s="2" t="str">
        <f t="shared" si="22"/>
        <v>Error?</v>
      </c>
    </row>
    <row r="1482" spans="1:4" x14ac:dyDescent="0.2">
      <c r="A1482" s="5">
        <v>1421</v>
      </c>
      <c r="B1482" s="138">
        <f>'Expenditures 15-22'!K240</f>
        <v>648</v>
      </c>
      <c r="C1482" s="2" t="s">
        <v>573</v>
      </c>
      <c r="D1482" s="2" t="str">
        <f t="shared" si="22"/>
        <v>Error?</v>
      </c>
    </row>
    <row r="1483" spans="1:4" x14ac:dyDescent="0.2">
      <c r="A1483" s="5">
        <v>1422</v>
      </c>
      <c r="B1483" s="138">
        <f>'Expenditures 15-22'!K241</f>
        <v>7899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8547</v>
      </c>
      <c r="C1485" s="2" t="s">
        <v>573</v>
      </c>
      <c r="D1485" s="2" t="str">
        <f t="shared" si="22"/>
        <v>Error?</v>
      </c>
    </row>
    <row r="1486" spans="1:4" x14ac:dyDescent="0.2">
      <c r="A1486" s="5">
        <v>1425</v>
      </c>
      <c r="B1486" s="138">
        <f>'Expenditures 15-22'!K245</f>
        <v>85000</v>
      </c>
      <c r="C1486" s="2" t="s">
        <v>573</v>
      </c>
      <c r="D1486" s="2" t="str">
        <f t="shared" si="22"/>
        <v>Error?</v>
      </c>
    </row>
    <row r="1487" spans="1:4" x14ac:dyDescent="0.2">
      <c r="A1487" s="5">
        <v>1426</v>
      </c>
      <c r="B1487" s="138">
        <f>'Expenditures 15-22'!K246</f>
        <v>15662</v>
      </c>
      <c r="C1487" s="2" t="s">
        <v>573</v>
      </c>
      <c r="D1487" s="2" t="str">
        <f t="shared" si="22"/>
        <v>Error?</v>
      </c>
    </row>
    <row r="1488" spans="1:4" x14ac:dyDescent="0.2">
      <c r="A1488" s="5">
        <v>1427</v>
      </c>
      <c r="B1488" s="138">
        <f>'Expenditures 15-22'!K257</f>
        <v>100662</v>
      </c>
      <c r="C1488" s="2" t="s">
        <v>573</v>
      </c>
      <c r="D1488" s="2" t="str">
        <f t="shared" si="22"/>
        <v>Error?</v>
      </c>
    </row>
    <row r="1489" spans="1:4" x14ac:dyDescent="0.2">
      <c r="A1489" s="5">
        <v>1428</v>
      </c>
      <c r="B1489" s="138">
        <f>'Expenditures 15-22'!K259</f>
        <v>42080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42080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17231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102872</v>
      </c>
      <c r="C1495" s="2" t="s">
        <v>573</v>
      </c>
      <c r="D1495" s="2" t="str">
        <f t="shared" si="22"/>
        <v>Error?</v>
      </c>
    </row>
    <row r="1496" spans="1:4" x14ac:dyDescent="0.2">
      <c r="A1496" s="5">
        <v>1435</v>
      </c>
      <c r="B1496" s="138">
        <f>'Expenditures 15-22'!K267</f>
        <v>95937</v>
      </c>
      <c r="C1496" s="2" t="s">
        <v>573</v>
      </c>
      <c r="D1496" s="2" t="str">
        <f t="shared" si="22"/>
        <v>Error?</v>
      </c>
    </row>
    <row r="1497" spans="1:4" x14ac:dyDescent="0.2">
      <c r="A1497" s="5">
        <v>1436</v>
      </c>
      <c r="B1497" s="138">
        <f>'Expenditures 15-22'!K268</f>
        <v>49964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266004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431748</v>
      </c>
      <c r="C1510" s="2" t="s">
        <v>573</v>
      </c>
      <c r="D1510" s="2" t="str">
        <f t="shared" si="22"/>
        <v>Error?</v>
      </c>
    </row>
    <row r="1511" spans="1:4" x14ac:dyDescent="0.2">
      <c r="A1511" s="5">
        <v>1450</v>
      </c>
      <c r="B1511" s="138">
        <f>'Expenditures 15-22'!K280</f>
        <v>19582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632137</v>
      </c>
      <c r="C1517" s="2" t="s">
        <v>573</v>
      </c>
      <c r="D1517" s="2" t="str">
        <f t="shared" si="22"/>
        <v>Error?</v>
      </c>
    </row>
    <row r="1518" spans="1:4" x14ac:dyDescent="0.2">
      <c r="A1518" s="5">
        <v>1457</v>
      </c>
      <c r="B1518" s="138">
        <f>'Expenditures 15-22'!K296</f>
        <v>4291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290688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290688</v>
      </c>
      <c r="C1535" s="2" t="s">
        <v>573</v>
      </c>
      <c r="D1535" s="2" t="str">
        <f t="shared" ref="D1535:D1598" si="23">IF(ISBLANK(B1535),"OK",IF(A1535-B1535=0,"OK","Error?"))</f>
        <v>Error?</v>
      </c>
    </row>
    <row r="1536" spans="1:4" x14ac:dyDescent="0.2">
      <c r="A1536" s="5">
        <v>1475</v>
      </c>
      <c r="B1536" s="138">
        <f>'Expenditures 15-22'!E312</f>
        <v>290688</v>
      </c>
      <c r="C1536" s="2" t="s">
        <v>573</v>
      </c>
      <c r="D1536" s="2" t="str">
        <f t="shared" si="23"/>
        <v>Error?</v>
      </c>
    </row>
    <row r="1537" spans="1:4" x14ac:dyDescent="0.2">
      <c r="A1537" s="5">
        <v>1476</v>
      </c>
      <c r="B1537" s="138">
        <f>'Expenditures 15-22'!F301</f>
        <v>60055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60055</v>
      </c>
      <c r="C1541" s="2" t="s">
        <v>573</v>
      </c>
      <c r="D1541" s="2" t="str">
        <f t="shared" si="23"/>
        <v>Error?</v>
      </c>
    </row>
    <row r="1542" spans="1:4" x14ac:dyDescent="0.2">
      <c r="A1542" s="5">
        <v>1481</v>
      </c>
      <c r="B1542" s="138">
        <f>'Expenditures 15-22'!F312</f>
        <v>60055</v>
      </c>
      <c r="C1542" s="2" t="s">
        <v>573</v>
      </c>
      <c r="D1542" s="2" t="str">
        <f t="shared" si="23"/>
        <v>Error?</v>
      </c>
    </row>
    <row r="1543" spans="1:4" x14ac:dyDescent="0.2">
      <c r="A1543" s="5">
        <v>1482</v>
      </c>
      <c r="B1543" s="138">
        <f>'Expenditures 15-22'!G301</f>
        <v>11759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11759</v>
      </c>
      <c r="C1547" s="2" t="s">
        <v>573</v>
      </c>
      <c r="D1547" s="2" t="str">
        <f t="shared" si="23"/>
        <v>Error?</v>
      </c>
    </row>
    <row r="1548" spans="1:4" x14ac:dyDescent="0.2">
      <c r="A1548" s="5">
        <v>1487</v>
      </c>
      <c r="B1548" s="138">
        <f>'Expenditures 15-22'!G312</f>
        <v>11759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362502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362502</v>
      </c>
      <c r="C1559" s="2" t="s">
        <v>573</v>
      </c>
      <c r="D1559" s="2" t="str">
        <f t="shared" si="23"/>
        <v>Error?</v>
      </c>
    </row>
    <row r="1560" spans="1:4" x14ac:dyDescent="0.2">
      <c r="A1560" s="5">
        <v>1499</v>
      </c>
      <c r="B1560" s="138">
        <f>'Expenditures 15-22'!K312</f>
        <v>362502</v>
      </c>
      <c r="C1560" s="2" t="s">
        <v>573</v>
      </c>
      <c r="D1560" s="2" t="str">
        <f t="shared" si="23"/>
        <v>Error?</v>
      </c>
    </row>
    <row r="1561" spans="1:4" x14ac:dyDescent="0.2">
      <c r="A1561" s="5">
        <v>1500</v>
      </c>
      <c r="B1561" s="138">
        <f>'Expenditures 15-22'!K313</f>
        <v>-236935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3451754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3455262</v>
      </c>
      <c r="C1630" s="2" t="s">
        <v>573</v>
      </c>
      <c r="D1630" s="2" t="str">
        <f t="shared" si="24"/>
        <v>Error?</v>
      </c>
    </row>
    <row r="1631" spans="1:4" x14ac:dyDescent="0.2">
      <c r="A1631" s="5">
        <v>1570</v>
      </c>
      <c r="B1631" s="138">
        <f>'Acct Summary 7-8'!D79</f>
        <v>840409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842314</v>
      </c>
      <c r="C1644" s="2" t="s">
        <v>573</v>
      </c>
      <c r="D1644" s="2" t="str">
        <f t="shared" si="24"/>
        <v>Error?</v>
      </c>
    </row>
    <row r="1645" spans="1:4" x14ac:dyDescent="0.2">
      <c r="A1645" s="5">
        <v>1584</v>
      </c>
      <c r="B1645" s="138">
        <f>'Acct Summary 7-8'!E79</f>
        <v>516950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516988</v>
      </c>
      <c r="C1658" s="2" t="s">
        <v>573</v>
      </c>
      <c r="D1658" s="2" t="str">
        <f t="shared" si="24"/>
        <v>Error?</v>
      </c>
    </row>
    <row r="1659" spans="1:4" x14ac:dyDescent="0.2">
      <c r="A1659" s="5">
        <v>1598</v>
      </c>
      <c r="B1659" s="138">
        <f>'Acct Summary 7-8'!F79</f>
        <v>600526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611863</v>
      </c>
      <c r="C1672" s="2" t="s">
        <v>573</v>
      </c>
      <c r="D1672" s="2" t="str">
        <f t="shared" si="25"/>
        <v>Error?</v>
      </c>
    </row>
    <row r="1673" spans="1:4" x14ac:dyDescent="0.2">
      <c r="A1673" s="5">
        <v>1612</v>
      </c>
      <c r="B1673" s="138">
        <f>'Acct Summary 7-8'!G79</f>
        <v>355633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359924</v>
      </c>
      <c r="C1686" s="2" t="s">
        <v>573</v>
      </c>
      <c r="D1686" s="2" t="str">
        <f t="shared" si="25"/>
        <v>Error?</v>
      </c>
    </row>
    <row r="1687" spans="1:4" x14ac:dyDescent="0.2">
      <c r="A1687" s="5">
        <v>1626</v>
      </c>
      <c r="B1687" s="138">
        <f>'Acct Summary 7-8'!H79</f>
        <v>1477882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1240947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6686895</v>
      </c>
      <c r="C1744" s="2" t="s">
        <v>573</v>
      </c>
      <c r="D1744" s="2" t="str">
        <f t="shared" si="26"/>
        <v>Error?</v>
      </c>
    </row>
    <row r="1745" spans="1:5" x14ac:dyDescent="0.2">
      <c r="A1745" s="5">
        <v>1684</v>
      </c>
      <c r="B1745" s="138">
        <f>'Tax Sched 23'!B5</f>
        <v>1375873</v>
      </c>
      <c r="C1745" s="2" t="s">
        <v>573</v>
      </c>
      <c r="D1745" s="2" t="str">
        <f t="shared" si="26"/>
        <v>Error?</v>
      </c>
    </row>
    <row r="1746" spans="1:5" x14ac:dyDescent="0.2">
      <c r="A1746" s="5">
        <v>1685</v>
      </c>
      <c r="B1746" s="138">
        <f>'Tax Sched 23'!B6</f>
        <v>530015</v>
      </c>
      <c r="C1746" s="2" t="s">
        <v>573</v>
      </c>
      <c r="D1746" s="2" t="str">
        <f t="shared" si="26"/>
        <v>Error?</v>
      </c>
    </row>
    <row r="1747" spans="1:5" x14ac:dyDescent="0.2">
      <c r="A1747" s="5">
        <v>1686</v>
      </c>
      <c r="B1747" s="138">
        <f>'Tax Sched 23'!B7</f>
        <v>550349</v>
      </c>
      <c r="C1747" s="2" t="s">
        <v>573</v>
      </c>
      <c r="D1747" s="2" t="str">
        <f t="shared" si="26"/>
        <v>Error?</v>
      </c>
    </row>
    <row r="1748" spans="1:5" x14ac:dyDescent="0.2">
      <c r="A1748" s="5">
        <v>1687</v>
      </c>
      <c r="B1748" s="138">
        <f>'Tax Sched 23'!B8</f>
        <v>308527</v>
      </c>
      <c r="C1748" s="2" t="s">
        <v>573</v>
      </c>
      <c r="D1748" s="2" t="str">
        <f t="shared" si="26"/>
        <v>Error?</v>
      </c>
    </row>
    <row r="1749" spans="1:5" x14ac:dyDescent="0.2">
      <c r="A1749" s="5">
        <v>1688</v>
      </c>
      <c r="B1749" s="138">
        <f>'Tax Sched 23'!B10</f>
        <v>137586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641955</v>
      </c>
      <c r="C1752" s="2" t="s">
        <v>573</v>
      </c>
      <c r="D1752" s="2" t="str">
        <f t="shared" si="26"/>
        <v>Error?</v>
      </c>
    </row>
    <row r="1753" spans="1:5" x14ac:dyDescent="0.2">
      <c r="A1753" s="5">
        <v>1692</v>
      </c>
      <c r="B1753" s="138">
        <f>'Tax Sched 23'!B12</f>
        <v>137586</v>
      </c>
      <c r="C1753" s="2" t="s">
        <v>573</v>
      </c>
      <c r="D1753" s="2" t="str">
        <f t="shared" si="26"/>
        <v>Error?</v>
      </c>
    </row>
    <row r="1754" spans="1:5" x14ac:dyDescent="0.2">
      <c r="A1754" s="5">
        <v>1693</v>
      </c>
      <c r="B1754" s="138">
        <f>'Tax Sched 23'!B14</f>
        <v>110070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10924968</v>
      </c>
      <c r="C1759" s="2" t="s">
        <v>573</v>
      </c>
      <c r="D1759" s="2" t="str">
        <f t="shared" si="26"/>
        <v>Error?</v>
      </c>
    </row>
    <row r="1760" spans="1:5" x14ac:dyDescent="0.2">
      <c r="A1760" s="5">
        <v>1699</v>
      </c>
      <c r="B1760" s="138">
        <f>'Tax Sched 23'!D4</f>
        <v>6686895</v>
      </c>
      <c r="C1760" s="2" t="s">
        <v>573</v>
      </c>
      <c r="D1760" s="2" t="str">
        <f t="shared" si="26"/>
        <v>Error?</v>
      </c>
    </row>
    <row r="1761" spans="1:5" x14ac:dyDescent="0.2">
      <c r="A1761" s="5">
        <v>1700</v>
      </c>
      <c r="B1761" s="138">
        <f>'Tax Sched 23'!D5</f>
        <v>1375873</v>
      </c>
      <c r="C1761" s="2" t="s">
        <v>573</v>
      </c>
      <c r="D1761" s="2" t="str">
        <f t="shared" si="26"/>
        <v>Error?</v>
      </c>
    </row>
    <row r="1762" spans="1:5" s="8" customFormat="1" x14ac:dyDescent="0.2">
      <c r="A1762" s="5">
        <v>1701</v>
      </c>
      <c r="B1762" s="138">
        <f>'Tax Sched 23'!D6</f>
        <v>530015</v>
      </c>
      <c r="C1762" s="2" t="s">
        <v>573</v>
      </c>
      <c r="D1762" s="2" t="str">
        <f t="shared" si="26"/>
        <v>Error?</v>
      </c>
      <c r="E1762" s="9"/>
    </row>
    <row r="1763" spans="1:5" x14ac:dyDescent="0.2">
      <c r="A1763" s="5">
        <v>1702</v>
      </c>
      <c r="B1763" s="138">
        <f>'Tax Sched 23'!D7</f>
        <v>550349</v>
      </c>
      <c r="C1763" s="2" t="s">
        <v>573</v>
      </c>
      <c r="D1763" s="2" t="str">
        <f t="shared" si="26"/>
        <v>Error?</v>
      </c>
    </row>
    <row r="1764" spans="1:5" x14ac:dyDescent="0.2">
      <c r="A1764" s="5">
        <v>1703</v>
      </c>
      <c r="B1764" s="138">
        <f>'Tax Sched 23'!D8</f>
        <v>308527</v>
      </c>
      <c r="C1764" s="2" t="s">
        <v>573</v>
      </c>
      <c r="D1764" s="2" t="str">
        <f t="shared" si="26"/>
        <v>Error?</v>
      </c>
    </row>
    <row r="1765" spans="1:5" x14ac:dyDescent="0.2">
      <c r="A1765" s="5">
        <v>1704</v>
      </c>
      <c r="B1765" s="138">
        <f>'Tax Sched 23'!D10</f>
        <v>137586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641955</v>
      </c>
      <c r="C1768" s="2" t="s">
        <v>573</v>
      </c>
      <c r="D1768" s="2" t="str">
        <f t="shared" si="26"/>
        <v>Error?</v>
      </c>
    </row>
    <row r="1769" spans="1:5" x14ac:dyDescent="0.2">
      <c r="A1769" s="5">
        <v>1708</v>
      </c>
      <c r="B1769" s="138">
        <f>'Tax Sched 23'!D12</f>
        <v>137586</v>
      </c>
      <c r="C1769" s="2" t="s">
        <v>573</v>
      </c>
      <c r="D1769" s="2" t="str">
        <f t="shared" si="26"/>
        <v>Error?</v>
      </c>
    </row>
    <row r="1770" spans="1:5" x14ac:dyDescent="0.2">
      <c r="A1770" s="5">
        <v>1709</v>
      </c>
      <c r="B1770" s="138">
        <f>'Tax Sched 23'!D14</f>
        <v>110070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10924968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6803962</v>
      </c>
      <c r="C1792" s="2" t="s">
        <v>573</v>
      </c>
      <c r="D1792" s="2" t="str">
        <f t="shared" si="27"/>
        <v>Error?</v>
      </c>
    </row>
    <row r="1793" spans="1:4" x14ac:dyDescent="0.2">
      <c r="A1793" s="5">
        <v>1732</v>
      </c>
      <c r="B1793" s="138">
        <f>'Tax Sched 23'!F5</f>
        <v>1399992</v>
      </c>
      <c r="C1793" s="2" t="s">
        <v>573</v>
      </c>
      <c r="D1793" s="2" t="str">
        <f t="shared" si="27"/>
        <v>Error?</v>
      </c>
    </row>
    <row r="1794" spans="1:4" x14ac:dyDescent="0.2">
      <c r="A1794" s="5">
        <v>1733</v>
      </c>
      <c r="B1794" s="138">
        <f>'Tax Sched 23'!F6</f>
        <v>562381</v>
      </c>
      <c r="C1794" s="2" t="s">
        <v>573</v>
      </c>
      <c r="D1794" s="2" t="str">
        <f t="shared" si="27"/>
        <v>Error?</v>
      </c>
    </row>
    <row r="1795" spans="1:4" x14ac:dyDescent="0.2">
      <c r="A1795" s="5">
        <v>1734</v>
      </c>
      <c r="B1795" s="138">
        <f>'Tax Sched 23'!F7</f>
        <v>559997</v>
      </c>
      <c r="C1795" s="2" t="s">
        <v>573</v>
      </c>
      <c r="D1795" s="2" t="str">
        <f t="shared" si="27"/>
        <v>Error?</v>
      </c>
    </row>
    <row r="1796" spans="1:4" x14ac:dyDescent="0.2">
      <c r="A1796" s="5">
        <v>1735</v>
      </c>
      <c r="B1796" s="138">
        <f>'Tax Sched 23'!F8</f>
        <v>306906</v>
      </c>
      <c r="C1796" s="2" t="s">
        <v>573</v>
      </c>
      <c r="D1796" s="2" t="str">
        <f t="shared" si="27"/>
        <v>Error?</v>
      </c>
    </row>
    <row r="1797" spans="1:4" x14ac:dyDescent="0.2">
      <c r="A1797" s="5">
        <v>1736</v>
      </c>
      <c r="B1797" s="138">
        <f>'Tax Sched 23'!F10</f>
        <v>139999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643520</v>
      </c>
      <c r="C1800" s="2" t="s">
        <v>573</v>
      </c>
      <c r="D1800" s="2" t="str">
        <f t="shared" si="27"/>
        <v>Error?</v>
      </c>
    </row>
    <row r="1801" spans="1:4" x14ac:dyDescent="0.2">
      <c r="A1801" s="5">
        <v>1740</v>
      </c>
      <c r="B1801" s="138">
        <f>'Tax Sched 23'!F12</f>
        <v>139999</v>
      </c>
      <c r="C1801" s="2" t="s">
        <v>573</v>
      </c>
      <c r="D1801" s="2" t="str">
        <f t="shared" si="27"/>
        <v>Error?</v>
      </c>
    </row>
    <row r="1802" spans="1:4" x14ac:dyDescent="0.2">
      <c r="A1802" s="5">
        <v>1741</v>
      </c>
      <c r="B1802" s="138">
        <f>'Tax Sched 23'!F14</f>
        <v>111999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11115660</v>
      </c>
      <c r="C1807" s="2" t="s">
        <v>573</v>
      </c>
      <c r="D1807" s="2" t="str">
        <f t="shared" si="27"/>
        <v>Error?</v>
      </c>
    </row>
    <row r="1808" spans="1:4" x14ac:dyDescent="0.2">
      <c r="A1808" s="5">
        <v>1747</v>
      </c>
      <c r="B1808" s="138">
        <f>'Tax Sched 23'!E4</f>
        <v>6803962</v>
      </c>
      <c r="D1808" s="2" t="str">
        <f t="shared" si="27"/>
        <v>Error?</v>
      </c>
    </row>
    <row r="1809" spans="1:4" x14ac:dyDescent="0.2">
      <c r="A1809" s="5">
        <v>1748</v>
      </c>
      <c r="B1809" s="138">
        <f>'Tax Sched 23'!E5</f>
        <v>1399992</v>
      </c>
      <c r="D1809" s="2" t="str">
        <f t="shared" si="27"/>
        <v>Error?</v>
      </c>
    </row>
    <row r="1810" spans="1:4" x14ac:dyDescent="0.2">
      <c r="A1810" s="5">
        <v>1749</v>
      </c>
      <c r="B1810" s="138">
        <f>'Tax Sched 23'!E6</f>
        <v>562381</v>
      </c>
      <c r="D1810" s="2" t="str">
        <f t="shared" si="27"/>
        <v>Error?</v>
      </c>
    </row>
    <row r="1811" spans="1:4" x14ac:dyDescent="0.2">
      <c r="A1811" s="5">
        <v>1750</v>
      </c>
      <c r="B1811" s="138">
        <f>'Tax Sched 23'!E7</f>
        <v>559997</v>
      </c>
      <c r="D1811" s="2" t="str">
        <f t="shared" si="27"/>
        <v>Error?</v>
      </c>
    </row>
    <row r="1812" spans="1:4" x14ac:dyDescent="0.2">
      <c r="A1812" s="5">
        <v>1751</v>
      </c>
      <c r="B1812" s="138">
        <f>'Tax Sched 23'!E8</f>
        <v>306906</v>
      </c>
      <c r="D1812" s="2" t="str">
        <f t="shared" si="27"/>
        <v>Error?</v>
      </c>
    </row>
    <row r="1813" spans="1:4" x14ac:dyDescent="0.2">
      <c r="A1813" s="5">
        <v>1752</v>
      </c>
      <c r="B1813" s="138">
        <f>'Tax Sched 23'!E10</f>
        <v>139999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643520</v>
      </c>
      <c r="D1816" s="2" t="str">
        <f t="shared" si="27"/>
        <v>Error?</v>
      </c>
    </row>
    <row r="1817" spans="1:4" x14ac:dyDescent="0.2">
      <c r="A1817" s="5">
        <v>1756</v>
      </c>
      <c r="B1817" s="138">
        <f>'Tax Sched 23'!E12</f>
        <v>139999</v>
      </c>
      <c r="D1817" s="2" t="str">
        <f t="shared" si="27"/>
        <v>Error?</v>
      </c>
    </row>
    <row r="1818" spans="1:4" x14ac:dyDescent="0.2">
      <c r="A1818" s="5">
        <v>1757</v>
      </c>
      <c r="B1818" s="138">
        <f>'Tax Sched 23'!E14</f>
        <v>111999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11115660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28015000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110070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110070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110070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411741</v>
      </c>
      <c r="D2008" s="2" t="str">
        <f t="shared" si="30"/>
        <v>Error?</v>
      </c>
    </row>
    <row r="2009" spans="1:4" x14ac:dyDescent="0.2">
      <c r="A2009" s="5">
        <v>1948</v>
      </c>
      <c r="B2009" s="138">
        <f>'Cap Outlay Deprec 26'!C8</f>
        <v>49840152</v>
      </c>
      <c r="D2009" s="2" t="str">
        <f t="shared" si="30"/>
        <v>Error?</v>
      </c>
    </row>
    <row r="2010" spans="1:4" x14ac:dyDescent="0.2">
      <c r="A2010" s="5">
        <v>1949</v>
      </c>
      <c r="B2010" s="138">
        <f>'Cap Outlay Deprec 26'!C10</f>
        <v>2422261</v>
      </c>
      <c r="D2010" s="2" t="str">
        <f t="shared" si="30"/>
        <v>Error?</v>
      </c>
    </row>
    <row r="2011" spans="1:4" x14ac:dyDescent="0.2">
      <c r="A2011" s="5">
        <v>1950</v>
      </c>
      <c r="B2011" s="138">
        <f>'Cap Outlay Deprec 26'!C12</f>
        <v>5961773</v>
      </c>
      <c r="D2011" s="2" t="str">
        <f t="shared" si="30"/>
        <v>Error?</v>
      </c>
    </row>
    <row r="2012" spans="1:4" x14ac:dyDescent="0.2">
      <c r="A2012" s="5">
        <v>1951</v>
      </c>
      <c r="B2012" s="138">
        <f>'Cap Outlay Deprec 26'!C13</f>
        <v>234040</v>
      </c>
      <c r="D2012" s="2" t="str">
        <f t="shared" si="30"/>
        <v>Error?</v>
      </c>
    </row>
    <row r="2013" spans="1:4" x14ac:dyDescent="0.2">
      <c r="A2013" s="5">
        <v>1952</v>
      </c>
      <c r="B2013" s="138">
        <f>'Cap Outlay Deprec 26'!C16</f>
        <v>58869967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5657</v>
      </c>
      <c r="D2016" s="2" t="str">
        <f t="shared" si="30"/>
        <v>Error?</v>
      </c>
    </row>
    <row r="2017" spans="1:4" x14ac:dyDescent="0.2">
      <c r="A2017" s="5">
        <v>1956</v>
      </c>
      <c r="B2017" s="138">
        <f>'Cap Outlay Deprec 26'!D12</f>
        <v>104311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109968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411741</v>
      </c>
      <c r="C2026" s="2" t="s">
        <v>573</v>
      </c>
      <c r="D2026" s="2" t="str">
        <f t="shared" si="30"/>
        <v>Error?</v>
      </c>
    </row>
    <row r="2027" spans="1:4" x14ac:dyDescent="0.2">
      <c r="A2027" s="5">
        <v>1966</v>
      </c>
      <c r="B2027" s="138">
        <f>'Cap Outlay Deprec 26'!F8</f>
        <v>49840152</v>
      </c>
      <c r="C2027" s="2" t="s">
        <v>573</v>
      </c>
      <c r="D2027" s="2" t="str">
        <f t="shared" si="30"/>
        <v>Error?</v>
      </c>
    </row>
    <row r="2028" spans="1:4" x14ac:dyDescent="0.2">
      <c r="A2028" s="5">
        <v>1967</v>
      </c>
      <c r="B2028" s="138">
        <f>'Cap Outlay Deprec 26'!F10</f>
        <v>2427918</v>
      </c>
      <c r="C2028" s="2" t="s">
        <v>573</v>
      </c>
      <c r="D2028" s="2" t="str">
        <f t="shared" si="30"/>
        <v>Error?</v>
      </c>
    </row>
    <row r="2029" spans="1:4" x14ac:dyDescent="0.2">
      <c r="A2029" s="5">
        <v>1968</v>
      </c>
      <c r="B2029" s="138">
        <f>'Cap Outlay Deprec 26'!F12</f>
        <v>6066084</v>
      </c>
      <c r="C2029" s="2" t="s">
        <v>573</v>
      </c>
      <c r="D2029" s="2" t="str">
        <f t="shared" si="30"/>
        <v>Error?</v>
      </c>
    </row>
    <row r="2030" spans="1:4" x14ac:dyDescent="0.2">
      <c r="A2030" s="5">
        <v>1969</v>
      </c>
      <c r="B2030" s="138">
        <f>'Cap Outlay Deprec 26'!F13</f>
        <v>234040</v>
      </c>
      <c r="C2030" s="2" t="s">
        <v>573</v>
      </c>
      <c r="D2030" s="2" t="str">
        <f t="shared" si="30"/>
        <v>Error?</v>
      </c>
    </row>
    <row r="2031" spans="1:4" x14ac:dyDescent="0.2">
      <c r="A2031" s="5">
        <v>1970</v>
      </c>
      <c r="B2031" s="138">
        <f>'Cap Outlay Deprec 26'!F16</f>
        <v>58979935</v>
      </c>
      <c r="C2031" s="2" t="s">
        <v>573</v>
      </c>
      <c r="D2031" s="2" t="str">
        <f t="shared" si="30"/>
        <v>Error?</v>
      </c>
    </row>
    <row r="2032" spans="1:4" x14ac:dyDescent="0.2">
      <c r="A2032" s="10">
        <v>1971</v>
      </c>
      <c r="D2032" s="2" t="str">
        <f t="shared" si="30"/>
        <v>OK</v>
      </c>
    </row>
    <row r="2033" spans="1:4" x14ac:dyDescent="0.2">
      <c r="A2033" s="5">
        <v>1972</v>
      </c>
      <c r="B2033" s="138">
        <f>'Cap Outlay Deprec 26'!H8</f>
        <v>14101666</v>
      </c>
      <c r="D2033" s="2" t="str">
        <f t="shared" si="30"/>
        <v>Error?</v>
      </c>
    </row>
    <row r="2034" spans="1:4" x14ac:dyDescent="0.2">
      <c r="A2034" s="5">
        <v>1973</v>
      </c>
      <c r="B2034" s="138">
        <f>'Cap Outlay Deprec 26'!H10</f>
        <v>1033446</v>
      </c>
      <c r="D2034" s="2" t="str">
        <f t="shared" si="30"/>
        <v>Error?</v>
      </c>
    </row>
    <row r="2035" spans="1:4" x14ac:dyDescent="0.2">
      <c r="A2035" s="5">
        <v>1974</v>
      </c>
      <c r="B2035" s="138">
        <f>'Cap Outlay Deprec 26'!H12</f>
        <v>5318388</v>
      </c>
      <c r="D2035" s="2" t="str">
        <f t="shared" si="30"/>
        <v>Error?</v>
      </c>
    </row>
    <row r="2036" spans="1:4" x14ac:dyDescent="0.2">
      <c r="A2036" s="5">
        <v>1975</v>
      </c>
      <c r="B2036" s="138">
        <f>'Cap Outlay Deprec 26'!H13</f>
        <v>234040</v>
      </c>
      <c r="D2036" s="2" t="str">
        <f t="shared" si="30"/>
        <v>Error?</v>
      </c>
    </row>
    <row r="2037" spans="1:4" x14ac:dyDescent="0.2">
      <c r="A2037" s="5">
        <v>1976</v>
      </c>
      <c r="B2037" s="138">
        <f>'Cap Outlay Deprec 26'!H16</f>
        <v>20687540</v>
      </c>
      <c r="C2037" s="2" t="s">
        <v>573</v>
      </c>
      <c r="D2037" s="2" t="str">
        <f t="shared" si="30"/>
        <v>Error?</v>
      </c>
    </row>
    <row r="2038" spans="1:4" x14ac:dyDescent="0.2">
      <c r="A2038" s="10">
        <v>1977</v>
      </c>
      <c r="D2038" s="2" t="str">
        <f t="shared" si="30"/>
        <v>OK</v>
      </c>
    </row>
    <row r="2039" spans="1:4" x14ac:dyDescent="0.2">
      <c r="A2039" s="5">
        <v>1978</v>
      </c>
      <c r="B2039" s="138">
        <f>'Cap Outlay Deprec 26'!I8</f>
        <v>1038418</v>
      </c>
      <c r="D2039" s="2" t="str">
        <f t="shared" si="30"/>
        <v>Error?</v>
      </c>
    </row>
    <row r="2040" spans="1:4" x14ac:dyDescent="0.2">
      <c r="A2040" s="5">
        <v>1979</v>
      </c>
      <c r="B2040" s="138">
        <f>'Cap Outlay Deprec 26'!I10</f>
        <v>170232</v>
      </c>
      <c r="D2040" s="2" t="str">
        <f t="shared" si="30"/>
        <v>Error?</v>
      </c>
    </row>
    <row r="2041" spans="1:4" x14ac:dyDescent="0.2">
      <c r="A2041" s="5">
        <v>1980</v>
      </c>
      <c r="B2041" s="138">
        <f>'Cap Outlay Deprec 26'!I12</f>
        <v>104097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1312747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15140084</v>
      </c>
      <c r="C2051" s="2" t="s">
        <v>573</v>
      </c>
      <c r="D2051" s="2" t="str">
        <f t="shared" si="31"/>
        <v>Error?</v>
      </c>
    </row>
    <row r="2052" spans="1:4" x14ac:dyDescent="0.2">
      <c r="A2052" s="5">
        <v>1991</v>
      </c>
      <c r="B2052" s="138">
        <f>'Cap Outlay Deprec 26'!K10</f>
        <v>1203678</v>
      </c>
      <c r="C2052" s="2" t="s">
        <v>573</v>
      </c>
      <c r="D2052" s="2" t="str">
        <f t="shared" si="31"/>
        <v>Error?</v>
      </c>
    </row>
    <row r="2053" spans="1:4" x14ac:dyDescent="0.2">
      <c r="A2053" s="5">
        <v>1992</v>
      </c>
      <c r="B2053" s="138">
        <f>'Cap Outlay Deprec 26'!K12</f>
        <v>5422485</v>
      </c>
      <c r="C2053" s="2" t="s">
        <v>573</v>
      </c>
      <c r="D2053" s="2" t="str">
        <f t="shared" si="31"/>
        <v>Error?</v>
      </c>
    </row>
    <row r="2054" spans="1:4" x14ac:dyDescent="0.2">
      <c r="A2054" s="5">
        <v>1993</v>
      </c>
      <c r="B2054" s="138">
        <f>'Cap Outlay Deprec 26'!K13</f>
        <v>234040</v>
      </c>
      <c r="C2054" s="2" t="s">
        <v>573</v>
      </c>
      <c r="D2054" s="2" t="str">
        <f t="shared" si="31"/>
        <v>Error?</v>
      </c>
    </row>
    <row r="2055" spans="1:4" x14ac:dyDescent="0.2">
      <c r="A2055" s="5">
        <v>1994</v>
      </c>
      <c r="B2055" s="138">
        <f>'Cap Outlay Deprec 26'!K16</f>
        <v>22000287</v>
      </c>
      <c r="C2055" s="2" t="s">
        <v>573</v>
      </c>
      <c r="D2055" s="2" t="str">
        <f t="shared" si="31"/>
        <v>Error?</v>
      </c>
    </row>
    <row r="2056" spans="1:4" x14ac:dyDescent="0.2">
      <c r="A2056" s="5">
        <v>1995</v>
      </c>
      <c r="B2056" s="138">
        <f>'Cap Outlay Deprec 26'!L5</f>
        <v>411741</v>
      </c>
      <c r="C2056" s="2" t="s">
        <v>573</v>
      </c>
      <c r="D2056" s="2" t="str">
        <f t="shared" si="31"/>
        <v>Error?</v>
      </c>
    </row>
    <row r="2057" spans="1:4" x14ac:dyDescent="0.2">
      <c r="A2057" s="5">
        <v>1996</v>
      </c>
      <c r="B2057" s="138">
        <f>'Cap Outlay Deprec 26'!L8</f>
        <v>34700068</v>
      </c>
      <c r="C2057" s="2" t="s">
        <v>573</v>
      </c>
      <c r="D2057" s="2" t="str">
        <f t="shared" si="31"/>
        <v>Error?</v>
      </c>
    </row>
    <row r="2058" spans="1:4" x14ac:dyDescent="0.2">
      <c r="A2058" s="5">
        <v>1997</v>
      </c>
      <c r="B2058" s="138">
        <f>'Cap Outlay Deprec 26'!L10</f>
        <v>1224240</v>
      </c>
      <c r="C2058" s="2" t="s">
        <v>573</v>
      </c>
      <c r="D2058" s="2" t="str">
        <f t="shared" si="31"/>
        <v>Error?</v>
      </c>
    </row>
    <row r="2059" spans="1:4" x14ac:dyDescent="0.2">
      <c r="A2059" s="5">
        <v>1998</v>
      </c>
      <c r="B2059" s="138">
        <f>'Cap Outlay Deprec 26'!L12</f>
        <v>643599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36979648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794929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794929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111272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8681444</v>
      </c>
      <c r="C2551" s="2" t="s">
        <v>573</v>
      </c>
      <c r="D2551" s="2" t="str">
        <f t="shared" si="38"/>
        <v>Error?</v>
      </c>
    </row>
    <row r="2552" spans="1:4" x14ac:dyDescent="0.2">
      <c r="A2552" s="10">
        <v>2491</v>
      </c>
      <c r="D2552" s="2" t="str">
        <f t="shared" si="38"/>
        <v>OK</v>
      </c>
    </row>
    <row r="2553" spans="1:4" x14ac:dyDescent="0.2">
      <c r="A2553" s="5">
        <v>2492</v>
      </c>
      <c r="B2553" s="138">
        <f>'Acct Summary 7-8'!C6</f>
        <v>7460246</v>
      </c>
      <c r="C2553" s="2" t="s">
        <v>573</v>
      </c>
      <c r="D2553" s="2" t="str">
        <f t="shared" si="38"/>
        <v>Error?</v>
      </c>
    </row>
    <row r="2554" spans="1:4" x14ac:dyDescent="0.2">
      <c r="A2554" s="5">
        <v>2493</v>
      </c>
      <c r="B2554" s="138">
        <f>'Acct Summary 7-8'!C7</f>
        <v>890853</v>
      </c>
      <c r="C2554" s="2" t="s">
        <v>573</v>
      </c>
      <c r="D2554" s="2" t="str">
        <f t="shared" si="38"/>
        <v>Error?</v>
      </c>
    </row>
    <row r="2555" spans="1:4" x14ac:dyDescent="0.2">
      <c r="A2555" s="5">
        <v>2494</v>
      </c>
      <c r="B2555" s="138">
        <f>'Acct Summary 7-8'!C8</f>
        <v>17032543</v>
      </c>
      <c r="C2555" s="2" t="s">
        <v>573</v>
      </c>
      <c r="D2555" s="2" t="str">
        <f t="shared" si="38"/>
        <v>Error?</v>
      </c>
    </row>
    <row r="2556" spans="1:4" x14ac:dyDescent="0.2">
      <c r="A2556" s="5">
        <v>2495</v>
      </c>
      <c r="B2556" s="138">
        <f>'Acct Summary 7-8'!C12</f>
        <v>11971923</v>
      </c>
      <c r="C2556" s="2" t="s">
        <v>573</v>
      </c>
      <c r="D2556" s="2" t="str">
        <f t="shared" si="38"/>
        <v>Error?</v>
      </c>
    </row>
    <row r="2557" spans="1:4" x14ac:dyDescent="0.2">
      <c r="A2557" s="5">
        <v>2496</v>
      </c>
      <c r="B2557" s="138">
        <f>'Acct Summary 7-8'!C13</f>
        <v>4090495</v>
      </c>
      <c r="C2557" s="2" t="s">
        <v>573</v>
      </c>
      <c r="D2557" s="2" t="str">
        <f t="shared" si="38"/>
        <v>Error?</v>
      </c>
    </row>
    <row r="2558" spans="1:4" x14ac:dyDescent="0.2">
      <c r="A2558" s="5">
        <v>2497</v>
      </c>
      <c r="B2558" s="138">
        <f>'Acct Summary 7-8'!C14</f>
        <v>171688</v>
      </c>
      <c r="C2558" s="2" t="s">
        <v>573</v>
      </c>
      <c r="D2558" s="2" t="str">
        <f t="shared" si="38"/>
        <v>Error?</v>
      </c>
    </row>
    <row r="2559" spans="1:4" x14ac:dyDescent="0.2">
      <c r="A2559" s="5">
        <v>2498</v>
      </c>
      <c r="B2559" s="138">
        <f>'Acct Summary 7-8'!C15</f>
        <v>794929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17029035</v>
      </c>
      <c r="C2561" s="2" t="s">
        <v>573</v>
      </c>
      <c r="D2561" s="2" t="str">
        <f t="shared" si="39"/>
        <v>Error?</v>
      </c>
    </row>
    <row r="2562" spans="1:4" x14ac:dyDescent="0.2">
      <c r="A2562" s="5">
        <v>2501</v>
      </c>
      <c r="B2562" s="138">
        <f>'Acct Summary 7-8'!C20</f>
        <v>3508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1403655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1403655</v>
      </c>
      <c r="C2568" s="2" t="s">
        <v>573</v>
      </c>
      <c r="D2568" s="2" t="str">
        <f t="shared" si="39"/>
        <v>Error?</v>
      </c>
    </row>
    <row r="2569" spans="1:4" x14ac:dyDescent="0.2">
      <c r="A2569" s="5">
        <v>2508</v>
      </c>
      <c r="B2569" s="138">
        <f>'Acct Summary 7-8'!D13</f>
        <v>1401750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1401750</v>
      </c>
      <c r="C2573" s="2" t="s">
        <v>573</v>
      </c>
      <c r="D2573" s="2" t="str">
        <f t="shared" si="39"/>
        <v>Error?</v>
      </c>
    </row>
    <row r="2574" spans="1:4" x14ac:dyDescent="0.2">
      <c r="A2574" s="5">
        <v>2513</v>
      </c>
      <c r="B2574" s="138">
        <f>'Acct Summary 7-8'!D20</f>
        <v>1905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569215</v>
      </c>
      <c r="C2591" s="2" t="s">
        <v>573</v>
      </c>
      <c r="D2591" s="2" t="str">
        <f t="shared" si="39"/>
        <v>Error?</v>
      </c>
    </row>
    <row r="2592" spans="1:4" x14ac:dyDescent="0.2">
      <c r="A2592" s="10">
        <v>2531</v>
      </c>
      <c r="D2592" s="2" t="str">
        <f t="shared" si="39"/>
        <v>OK</v>
      </c>
    </row>
    <row r="2593" spans="1:4" x14ac:dyDescent="0.2">
      <c r="A2593" s="5">
        <v>2532</v>
      </c>
      <c r="B2593" s="138">
        <f>'Acct Summary 7-8'!F6</f>
        <v>660877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1230092</v>
      </c>
      <c r="C2595" s="2" t="s">
        <v>573</v>
      </c>
      <c r="D2595" s="2" t="str">
        <f t="shared" si="39"/>
        <v>Error?</v>
      </c>
    </row>
    <row r="2596" spans="1:4" x14ac:dyDescent="0.2">
      <c r="A2596" s="5">
        <v>2535</v>
      </c>
      <c r="B2596" s="138">
        <f>'Acct Summary 7-8'!F13</f>
        <v>1218755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1218755</v>
      </c>
      <c r="C2600" s="2" t="s">
        <v>573</v>
      </c>
      <c r="D2600" s="2" t="str">
        <f t="shared" si="39"/>
        <v>Error?</v>
      </c>
    </row>
    <row r="2601" spans="1:4" x14ac:dyDescent="0.2">
      <c r="A2601" s="5">
        <v>2540</v>
      </c>
      <c r="B2601" s="138">
        <f>'Acct Summary 7-8'!F20</f>
        <v>11337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636428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636428</v>
      </c>
      <c r="C2606" s="2" t="s">
        <v>573</v>
      </c>
      <c r="D2606" s="2" t="str">
        <f t="shared" si="39"/>
        <v>Error?</v>
      </c>
    </row>
    <row r="2607" spans="1:4" x14ac:dyDescent="0.2">
      <c r="A2607" s="5">
        <v>2546</v>
      </c>
      <c r="B2607" s="138">
        <f>'Acct Summary 7-8'!G12</f>
        <v>180807</v>
      </c>
      <c r="C2607" s="2" t="s">
        <v>573</v>
      </c>
      <c r="D2607" s="2" t="str">
        <f t="shared" si="39"/>
        <v>Error?</v>
      </c>
    </row>
    <row r="2608" spans="1:4" x14ac:dyDescent="0.2">
      <c r="A2608" s="5">
        <v>2547</v>
      </c>
      <c r="B2608" s="138">
        <f>'Acct Summary 7-8'!G13</f>
        <v>431748</v>
      </c>
      <c r="C2608" s="2" t="s">
        <v>573</v>
      </c>
      <c r="D2608" s="2" t="str">
        <f t="shared" si="39"/>
        <v>Error?</v>
      </c>
    </row>
    <row r="2609" spans="1:4" x14ac:dyDescent="0.2">
      <c r="A2609" s="5">
        <v>2548</v>
      </c>
      <c r="B2609" s="138">
        <f>'Acct Summary 7-8'!G14</f>
        <v>19582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632137</v>
      </c>
      <c r="C2612" s="2" t="s">
        <v>573</v>
      </c>
      <c r="D2612" s="2" t="str">
        <f t="shared" si="39"/>
        <v>Error?</v>
      </c>
    </row>
    <row r="2613" spans="1:4" x14ac:dyDescent="0.2">
      <c r="A2613" s="5">
        <v>2552</v>
      </c>
      <c r="B2613" s="138">
        <f>'Acct Summary 7-8'!G20</f>
        <v>4291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1909287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1909287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1909249</v>
      </c>
      <c r="C2634" s="2" t="s">
        <v>573</v>
      </c>
      <c r="D2634" s="2" t="str">
        <f t="shared" si="40"/>
        <v>Error?</v>
      </c>
    </row>
    <row r="2635" spans="1:4" x14ac:dyDescent="0.2">
      <c r="A2635" s="5">
        <v>2574</v>
      </c>
      <c r="B2635" s="138">
        <f>'Acct Summary 7-8'!E17</f>
        <v>1909249</v>
      </c>
      <c r="C2635" s="2" t="s">
        <v>573</v>
      </c>
      <c r="D2635" s="2" t="str">
        <f t="shared" si="40"/>
        <v>Error?</v>
      </c>
    </row>
    <row r="2636" spans="1:4" x14ac:dyDescent="0.2">
      <c r="A2636" s="5">
        <v>2575</v>
      </c>
      <c r="B2636" s="138">
        <f>'Acct Summary 7-8'!E20</f>
        <v>38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125567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125567</v>
      </c>
      <c r="C2658" s="2" t="s">
        <v>573</v>
      </c>
      <c r="D2658" s="2" t="str">
        <f t="shared" si="40"/>
        <v>Error?</v>
      </c>
    </row>
    <row r="2659" spans="1:4" x14ac:dyDescent="0.2">
      <c r="A2659" s="5">
        <v>2598</v>
      </c>
      <c r="B2659" s="138">
        <f>'Acct Summary 7-8'!H13</f>
        <v>362502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362502</v>
      </c>
      <c r="C2661" s="2" t="s">
        <v>573</v>
      </c>
      <c r="D2661" s="2" t="str">
        <f t="shared" si="40"/>
        <v>Error?</v>
      </c>
    </row>
    <row r="2662" spans="1:4" x14ac:dyDescent="0.2">
      <c r="A2662" s="5">
        <v>2601</v>
      </c>
      <c r="B2662" s="138">
        <f>'Acct Summary 7-8'!H20</f>
        <v>-236935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1191442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3029381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1191442</v>
      </c>
      <c r="D2912" s="2" t="str">
        <f t="shared" si="44"/>
        <v>Error?</v>
      </c>
    </row>
    <row r="2913" spans="1:4" x14ac:dyDescent="0.2">
      <c r="A2913" s="5">
        <v>2852</v>
      </c>
      <c r="B2913" s="138">
        <f>'Assets-Liab 5-6'!I41</f>
        <v>1191442</v>
      </c>
      <c r="C2913" s="2" t="s">
        <v>573</v>
      </c>
      <c r="D2913" s="2" t="str">
        <f t="shared" si="44"/>
        <v>Error?</v>
      </c>
    </row>
    <row r="2914" spans="1:4" x14ac:dyDescent="0.2">
      <c r="A2914" s="5">
        <v>2853</v>
      </c>
      <c r="B2914" s="138">
        <f>'Assets-Liab 5-6'!L33</f>
        <v>3029381</v>
      </c>
      <c r="D2914" s="2" t="str">
        <f t="shared" si="44"/>
        <v>Error?</v>
      </c>
    </row>
    <row r="2915" spans="1:4" x14ac:dyDescent="0.2">
      <c r="A2915" s="10">
        <v>2854</v>
      </c>
      <c r="D2915" s="2" t="str">
        <f t="shared" si="44"/>
        <v>OK</v>
      </c>
    </row>
    <row r="2916" spans="1:4" x14ac:dyDescent="0.2">
      <c r="A2916" s="5">
        <v>2855</v>
      </c>
      <c r="B2916" s="138">
        <f>'Assets-Liab 5-6'!L34</f>
        <v>3029381</v>
      </c>
      <c r="C2916" s="2" t="s">
        <v>573</v>
      </c>
      <c r="D2916" s="2" t="str">
        <f t="shared" si="44"/>
        <v>Error?</v>
      </c>
    </row>
    <row r="2917" spans="1:4" x14ac:dyDescent="0.2">
      <c r="A2917" s="5">
        <v>2856</v>
      </c>
      <c r="B2917" s="138">
        <f>'Assets-Liab 5-6'!L41</f>
        <v>3029381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35980</v>
      </c>
      <c r="D2955" s="2" t="str">
        <f t="shared" si="45"/>
        <v>Error?</v>
      </c>
    </row>
    <row r="2956" spans="1:4" x14ac:dyDescent="0.2">
      <c r="A2956" s="5">
        <v>2895</v>
      </c>
      <c r="B2956" s="138">
        <f>'Expenditures 15-22'!H79</f>
        <v>582220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160400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16329</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35980</v>
      </c>
      <c r="C2973" s="2" t="s">
        <v>573</v>
      </c>
      <c r="D2973" s="2" t="str">
        <f t="shared" si="45"/>
        <v>Error?</v>
      </c>
    </row>
    <row r="2974" spans="1:4" x14ac:dyDescent="0.2">
      <c r="A2974" s="5">
        <v>2913</v>
      </c>
      <c r="B2974" s="138">
        <f>'Expenditures 15-22'!K79</f>
        <v>582220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160400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16329</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151238</v>
      </c>
      <c r="D3055" s="2" t="str">
        <f t="shared" si="46"/>
        <v>Error?</v>
      </c>
    </row>
    <row r="3056" spans="1:4" x14ac:dyDescent="0.2">
      <c r="A3056" s="5">
        <v>2995</v>
      </c>
      <c r="B3056" s="138">
        <f>'Expenditures 15-22'!D10</f>
        <v>49578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200816</v>
      </c>
      <c r="C3062" s="2" t="s">
        <v>573</v>
      </c>
      <c r="D3062" s="2" t="str">
        <f t="shared" si="46"/>
        <v>Error?</v>
      </c>
    </row>
    <row r="3063" spans="1:4" x14ac:dyDescent="0.2">
      <c r="A3063" s="10">
        <v>3002</v>
      </c>
      <c r="D3063" s="2" t="str">
        <f t="shared" si="46"/>
        <v>OK</v>
      </c>
    </row>
    <row r="3064" spans="1:4" x14ac:dyDescent="0.2">
      <c r="A3064" s="5">
        <v>3003</v>
      </c>
      <c r="B3064" s="138">
        <f>'Expenditures 15-22'!D219</f>
        <v>2103</v>
      </c>
      <c r="D3064" s="2" t="str">
        <f t="shared" si="46"/>
        <v>Error?</v>
      </c>
    </row>
    <row r="3065" spans="1:4" x14ac:dyDescent="0.2">
      <c r="A3065" s="5">
        <v>3004</v>
      </c>
      <c r="B3065" s="138">
        <f>'Expenditures 15-22'!K219</f>
        <v>2103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149167</v>
      </c>
      <c r="C3225" s="2" t="s">
        <v>573</v>
      </c>
      <c r="D3225" s="2" t="str">
        <f t="shared" si="49"/>
        <v>Error?</v>
      </c>
    </row>
    <row r="3226" spans="1:4" x14ac:dyDescent="0.2">
      <c r="A3226" s="5">
        <v>3165</v>
      </c>
      <c r="B3226" s="138">
        <f>'Acct Summary 7-8'!I8</f>
        <v>149167</v>
      </c>
      <c r="C3226" s="2" t="s">
        <v>573</v>
      </c>
      <c r="D3226" s="2" t="str">
        <f t="shared" si="49"/>
        <v>Error?</v>
      </c>
    </row>
    <row r="3227" spans="1:4" x14ac:dyDescent="0.2">
      <c r="A3227" s="5">
        <v>3166</v>
      </c>
      <c r="B3227" s="138">
        <f>'Acct Summary 7-8'!I20</f>
        <v>149167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3508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1905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11337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4291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-236935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149167</v>
      </c>
      <c r="C3320" s="2" t="s">
        <v>573</v>
      </c>
      <c r="D3320" s="2" t="str">
        <f t="shared" si="50"/>
        <v>Error?</v>
      </c>
    </row>
    <row r="3321" spans="1:4" x14ac:dyDescent="0.2">
      <c r="A3321" s="5">
        <v>3260</v>
      </c>
      <c r="B3321" s="138">
        <f>'Acct Summary 7-8'!I79</f>
        <v>1042275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1191442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1080746</v>
      </c>
      <c r="D3366" s="2" t="str">
        <f t="shared" si="51"/>
        <v>Error?</v>
      </c>
    </row>
    <row r="3367" spans="1:4" x14ac:dyDescent="0.2">
      <c r="A3367" s="5">
        <v>3306</v>
      </c>
      <c r="B3367" s="138">
        <f>'Expenditures 15-22'!C19</f>
        <v>16151</v>
      </c>
      <c r="D3367" s="2" t="str">
        <f t="shared" si="51"/>
        <v>Error?</v>
      </c>
    </row>
    <row r="3368" spans="1:4" x14ac:dyDescent="0.2">
      <c r="A3368" s="5">
        <v>3307</v>
      </c>
      <c r="B3368" s="138">
        <f>'Expenditures 15-22'!D8</f>
        <v>213968</v>
      </c>
      <c r="D3368" s="2" t="str">
        <f t="shared" si="51"/>
        <v>Error?</v>
      </c>
    </row>
    <row r="3369" spans="1:4" x14ac:dyDescent="0.2">
      <c r="A3369" s="5">
        <v>3308</v>
      </c>
      <c r="B3369" s="138">
        <f>'Expenditures 15-22'!D19</f>
        <v>2026</v>
      </c>
      <c r="D3369" s="2" t="str">
        <f t="shared" si="51"/>
        <v>Error?</v>
      </c>
    </row>
    <row r="3370" spans="1:4" x14ac:dyDescent="0.2">
      <c r="A3370" s="5">
        <v>3309</v>
      </c>
      <c r="B3370" s="138">
        <f>'Expenditures 15-22'!E8</f>
        <v>200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1294914</v>
      </c>
      <c r="C3380" s="2" t="s">
        <v>573</v>
      </c>
      <c r="D3380" s="2" t="str">
        <f t="shared" si="51"/>
        <v>Error?</v>
      </c>
    </row>
    <row r="3381" spans="1:4" x14ac:dyDescent="0.2">
      <c r="A3381" s="5">
        <v>3320</v>
      </c>
      <c r="B3381" s="138">
        <f>'Expenditures 15-22'!K19</f>
        <v>18177</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118384</v>
      </c>
      <c r="D3387" s="2" t="str">
        <f t="shared" si="51"/>
        <v>Error?</v>
      </c>
    </row>
    <row r="3388" spans="1:4" x14ac:dyDescent="0.2">
      <c r="A3388" s="5">
        <v>3327</v>
      </c>
      <c r="B3388" s="138">
        <f>'Expenditures 15-22'!D217</f>
        <v>47378</v>
      </c>
      <c r="D3388" s="2" t="str">
        <f t="shared" si="51"/>
        <v>Error?</v>
      </c>
    </row>
    <row r="3389" spans="1:4" x14ac:dyDescent="0.2">
      <c r="A3389" s="5">
        <v>3328</v>
      </c>
      <c r="B3389" s="138">
        <f>'Expenditures 15-22'!D228</f>
        <v>235</v>
      </c>
      <c r="D3389" s="2" t="str">
        <f t="shared" si="51"/>
        <v>Error?</v>
      </c>
    </row>
    <row r="3390" spans="1:4" x14ac:dyDescent="0.2">
      <c r="A3390" s="5">
        <v>3329</v>
      </c>
      <c r="B3390" s="138">
        <f>'Expenditures 15-22'!K215</f>
        <v>118384</v>
      </c>
      <c r="C3390" s="2" t="s">
        <v>573</v>
      </c>
      <c r="D3390" s="2" t="str">
        <f t="shared" si="51"/>
        <v>Error?</v>
      </c>
    </row>
    <row r="3391" spans="1:4" x14ac:dyDescent="0.2">
      <c r="A3391" s="5">
        <v>3330</v>
      </c>
      <c r="B3391" s="138">
        <f>'Expenditures 15-22'!K217</f>
        <v>47378</v>
      </c>
      <c r="C3391" s="2" t="s">
        <v>573</v>
      </c>
      <c r="D3391" s="2" t="str">
        <f t="shared" ref="D3391:D3454" si="52">IF(ISBLANK(B3391),"OK",IF(A3391-B3391=0,"OK","Error?"))</f>
        <v>Error?</v>
      </c>
    </row>
    <row r="3392" spans="1:4" x14ac:dyDescent="0.2">
      <c r="A3392" s="5">
        <v>3331</v>
      </c>
      <c r="B3392" s="138">
        <f>'Expenditures 15-22'!K228</f>
        <v>235</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3485919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842314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516988</v>
      </c>
      <c r="D3417" s="2" t="str">
        <f t="shared" si="52"/>
        <v>Error?</v>
      </c>
    </row>
    <row r="3418" spans="1:4" x14ac:dyDescent="0.2">
      <c r="A3418" s="10">
        <v>3357</v>
      </c>
      <c r="D3418" s="2" t="str">
        <f t="shared" si="52"/>
        <v>OK</v>
      </c>
    </row>
    <row r="3419" spans="1:4" x14ac:dyDescent="0.2">
      <c r="A3419" s="5">
        <v>3358</v>
      </c>
      <c r="B3419" s="138">
        <f>'Assets-Liab 5-6'!F4</f>
        <v>611863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359924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1240947</v>
      </c>
      <c r="D3425" s="2" t="str">
        <f t="shared" si="52"/>
        <v>Error?</v>
      </c>
    </row>
    <row r="3426" spans="1:4" x14ac:dyDescent="0.2">
      <c r="A3426" s="10">
        <v>3365</v>
      </c>
      <c r="D3426" s="2" t="str">
        <f t="shared" si="52"/>
        <v>OK</v>
      </c>
    </row>
    <row r="3427" spans="1:4" x14ac:dyDescent="0.2">
      <c r="A3427" s="5">
        <v>3366</v>
      </c>
      <c r="B3427" s="138">
        <f>'Assets-Liab 5-6'!I4</f>
        <v>1191442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3029381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308526</v>
      </c>
      <c r="C3446" s="2" t="s">
        <v>573</v>
      </c>
      <c r="D3446" s="2" t="str">
        <f t="shared" si="52"/>
        <v>Error?</v>
      </c>
    </row>
    <row r="3447" spans="1:4" x14ac:dyDescent="0.2">
      <c r="A3447" s="5">
        <v>3386</v>
      </c>
      <c r="B3447" s="138">
        <f>'Tax Sched 23'!D16</f>
        <v>308526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306906</v>
      </c>
      <c r="C3449" s="2" t="s">
        <v>573</v>
      </c>
      <c r="D3449" s="2" t="str">
        <f t="shared" si="52"/>
        <v>Error?</v>
      </c>
    </row>
    <row r="3450" spans="1:4" x14ac:dyDescent="0.2">
      <c r="A3450" s="5">
        <v>3389</v>
      </c>
      <c r="B3450" s="138">
        <f>'Tax Sched 23'!E16</f>
        <v>306906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852648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852648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852648</v>
      </c>
      <c r="D3567" s="2" t="str">
        <f t="shared" si="54"/>
        <v>Error?</v>
      </c>
    </row>
    <row r="3568" spans="1:4" x14ac:dyDescent="0.2">
      <c r="A3568" s="5">
        <v>3507</v>
      </c>
      <c r="B3568" s="138">
        <f>'Assets-Liab 5-6'!K41</f>
        <v>852648</v>
      </c>
      <c r="C3568" s="2" t="s">
        <v>573</v>
      </c>
      <c r="D3568" s="2" t="str">
        <f t="shared" si="54"/>
        <v>Error?</v>
      </c>
    </row>
    <row r="3569" spans="1:4" x14ac:dyDescent="0.2">
      <c r="A3569" s="5">
        <v>3508</v>
      </c>
      <c r="B3569" s="138">
        <f>'Acct Summary 7-8'!K4</f>
        <v>144422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144422</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144422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144422</v>
      </c>
      <c r="C3588" s="2" t="s">
        <v>573</v>
      </c>
      <c r="D3588" s="2" t="str">
        <f t="shared" si="55"/>
        <v>Error?</v>
      </c>
    </row>
    <row r="3589" spans="1:4" x14ac:dyDescent="0.2">
      <c r="A3589" s="5">
        <v>3528</v>
      </c>
      <c r="B3589" s="138">
        <f>'Acct Summary 7-8'!K79</f>
        <v>708226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852648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144422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137586</v>
      </c>
      <c r="C3725" s="2" t="s">
        <v>573</v>
      </c>
      <c r="D3725" s="2" t="str">
        <f t="shared" si="57"/>
        <v>Error?</v>
      </c>
    </row>
    <row r="3726" spans="1:4" x14ac:dyDescent="0.2">
      <c r="A3726" s="5">
        <v>3665</v>
      </c>
      <c r="B3726" s="138">
        <f>'Tax Sched 23'!D13</f>
        <v>137586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139999</v>
      </c>
      <c r="C3728" s="2" t="s">
        <v>573</v>
      </c>
      <c r="D3728" s="2" t="str">
        <f t="shared" si="57"/>
        <v>Error?</v>
      </c>
    </row>
    <row r="3729" spans="1:4" x14ac:dyDescent="0.2">
      <c r="A3729" s="5">
        <v>3668</v>
      </c>
      <c r="B3729" s="138">
        <f>'Tax Sched 23'!E13</f>
        <v>139999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7640185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24672728</v>
      </c>
      <c r="C4122" s="2" t="s">
        <v>573</v>
      </c>
      <c r="D4122" s="2" t="str">
        <f t="shared" si="63"/>
        <v>Error?</v>
      </c>
    </row>
    <row r="4123" spans="1:4" x14ac:dyDescent="0.2">
      <c r="A4123" s="5">
        <v>4062</v>
      </c>
      <c r="B4123" s="138">
        <f>'Acct Summary 7-8'!D10</f>
        <v>1403655</v>
      </c>
      <c r="C4123" s="2" t="s">
        <v>573</v>
      </c>
      <c r="D4123" s="2" t="str">
        <f t="shared" si="63"/>
        <v>Error?</v>
      </c>
    </row>
    <row r="4124" spans="1:4" x14ac:dyDescent="0.2">
      <c r="A4124" s="5">
        <v>4063</v>
      </c>
      <c r="B4124" s="138">
        <f>'Acct Summary 7-8'!E10</f>
        <v>1909287</v>
      </c>
      <c r="C4124" s="2" t="s">
        <v>573</v>
      </c>
      <c r="D4124" s="2" t="str">
        <f t="shared" si="63"/>
        <v>Error?</v>
      </c>
    </row>
    <row r="4125" spans="1:4" x14ac:dyDescent="0.2">
      <c r="A4125" s="5">
        <v>4064</v>
      </c>
      <c r="B4125" s="138">
        <f>'Acct Summary 7-8'!F10</f>
        <v>1230092</v>
      </c>
      <c r="C4125" s="2" t="s">
        <v>573</v>
      </c>
      <c r="D4125" s="2" t="str">
        <f t="shared" si="63"/>
        <v>Error?</v>
      </c>
    </row>
    <row r="4126" spans="1:4" x14ac:dyDescent="0.2">
      <c r="A4126" s="5">
        <v>4065</v>
      </c>
      <c r="B4126" s="138">
        <f>'Acct Summary 7-8'!G10</f>
        <v>636428</v>
      </c>
      <c r="C4126" s="2" t="s">
        <v>573</v>
      </c>
      <c r="D4126" s="2" t="str">
        <f t="shared" si="63"/>
        <v>Error?</v>
      </c>
    </row>
    <row r="4127" spans="1:4" x14ac:dyDescent="0.2">
      <c r="A4127" s="5">
        <v>4066</v>
      </c>
      <c r="B4127" s="138">
        <f>'Acct Summary 7-8'!H10</f>
        <v>125567</v>
      </c>
      <c r="C4127" s="2" t="s">
        <v>573</v>
      </c>
      <c r="D4127" s="2" t="str">
        <f t="shared" si="63"/>
        <v>Error?</v>
      </c>
    </row>
    <row r="4128" spans="1:4" x14ac:dyDescent="0.2">
      <c r="A4128" s="5">
        <v>4067</v>
      </c>
      <c r="B4128" s="138">
        <f>'Acct Summary 7-8'!I10</f>
        <v>149167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144422</v>
      </c>
      <c r="C4130" s="2" t="s">
        <v>573</v>
      </c>
      <c r="D4130" s="2" t="str">
        <f t="shared" si="63"/>
        <v>Error?</v>
      </c>
    </row>
    <row r="4131" spans="1:4" x14ac:dyDescent="0.2">
      <c r="A4131" s="5">
        <v>4070</v>
      </c>
      <c r="B4131" s="138">
        <f>'Acct Summary 7-8'!C18</f>
        <v>7640185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24669220</v>
      </c>
      <c r="C4136" s="2" t="s">
        <v>573</v>
      </c>
      <c r="D4136" s="2" t="str">
        <f t="shared" si="63"/>
        <v>Error?</v>
      </c>
    </row>
    <row r="4137" spans="1:4" x14ac:dyDescent="0.2">
      <c r="A4137" s="5">
        <v>4076</v>
      </c>
      <c r="B4137" s="138">
        <f>'Acct Summary 7-8'!D19</f>
        <v>1401750</v>
      </c>
      <c r="C4137" s="2" t="s">
        <v>573</v>
      </c>
      <c r="D4137" s="2" t="str">
        <f t="shared" si="63"/>
        <v>Error?</v>
      </c>
    </row>
    <row r="4138" spans="1:4" x14ac:dyDescent="0.2">
      <c r="A4138" s="5">
        <v>4077</v>
      </c>
      <c r="B4138" s="138">
        <f>'Acct Summary 7-8'!E19</f>
        <v>1909249</v>
      </c>
      <c r="C4138" s="2" t="s">
        <v>573</v>
      </c>
      <c r="D4138" s="2" t="str">
        <f t="shared" si="63"/>
        <v>Error?</v>
      </c>
    </row>
    <row r="4139" spans="1:4" x14ac:dyDescent="0.2">
      <c r="A4139" s="5">
        <v>4078</v>
      </c>
      <c r="B4139" s="138">
        <f>'Acct Summary 7-8'!F19</f>
        <v>1218755</v>
      </c>
      <c r="C4139" s="2" t="s">
        <v>573</v>
      </c>
      <c r="D4139" s="2" t="str">
        <f t="shared" si="63"/>
        <v>Error?</v>
      </c>
    </row>
    <row r="4140" spans="1:4" x14ac:dyDescent="0.2">
      <c r="A4140" s="5">
        <v>4079</v>
      </c>
      <c r="B4140" s="138">
        <f>'Acct Summary 7-8'!G19</f>
        <v>632137</v>
      </c>
      <c r="C4140" s="2" t="s">
        <v>573</v>
      </c>
      <c r="D4140" s="2" t="str">
        <f t="shared" si="63"/>
        <v>Error?</v>
      </c>
    </row>
    <row r="4141" spans="1:4" x14ac:dyDescent="0.2">
      <c r="A4141" s="5">
        <v>4080</v>
      </c>
      <c r="B4141" s="138">
        <f>'Acct Summary 7-8'!H19</f>
        <v>362502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27425000</v>
      </c>
      <c r="C4171" s="2" t="s">
        <v>573</v>
      </c>
      <c r="D4171" s="2" t="str">
        <f t="shared" si="64"/>
        <v>Error?</v>
      </c>
    </row>
    <row r="4172" spans="1:4" x14ac:dyDescent="0.2">
      <c r="A4172" s="5">
        <v>4111</v>
      </c>
      <c r="B4172" s="138">
        <f>'Short-Term Long-Term Debt 24'!J49</f>
        <v>26908012</v>
      </c>
      <c r="C4172" s="2" t="s">
        <v>573</v>
      </c>
      <c r="D4172" s="2" t="str">
        <f t="shared" si="64"/>
        <v>Error?</v>
      </c>
    </row>
    <row r="4173" spans="1:4" x14ac:dyDescent="0.2">
      <c r="A4173" s="5">
        <v>4112</v>
      </c>
      <c r="B4173" s="138">
        <f>'Short-Term Long-Term Debt 24'!H49</f>
        <v>590000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2430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3130</v>
      </c>
      <c r="C4268" s="2" t="s">
        <v>573</v>
      </c>
      <c r="D4268" s="2" t="str">
        <f t="shared" si="65"/>
        <v>Error?</v>
      </c>
    </row>
    <row r="4269" spans="1:5" x14ac:dyDescent="0.2">
      <c r="A4269" s="12">
        <v>4208</v>
      </c>
      <c r="B4269" s="138">
        <f>'FP Info 3'!J16</f>
        <v>6100881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14263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23878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52895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4889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282965092</v>
      </c>
      <c r="D4995" s="2" t="str">
        <f t="shared" si="77"/>
        <v>Error?</v>
      </c>
    </row>
    <row r="4996" spans="1:4" x14ac:dyDescent="0.2">
      <c r="A4996" s="12">
        <v>4935</v>
      </c>
      <c r="B4996" s="138">
        <f>'FP Info 3'!H31</f>
        <v>39049182.696000002</v>
      </c>
      <c r="D4996" s="2" t="str">
        <f t="shared" si="77"/>
        <v>Error?</v>
      </c>
    </row>
    <row r="4997" spans="1:4" x14ac:dyDescent="0.2">
      <c r="A4997" s="12">
        <v>4936</v>
      </c>
      <c r="B4997" s="138">
        <f>'FP Info 3'!H37</f>
        <v>27425000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137586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6686895</v>
      </c>
      <c r="D5061" s="2" t="str">
        <f t="shared" si="78"/>
        <v>Error?</v>
      </c>
    </row>
    <row r="5062" spans="1:4" x14ac:dyDescent="0.2">
      <c r="A5062" s="10">
        <v>5001</v>
      </c>
      <c r="D5062" s="2" t="str">
        <f t="shared" si="78"/>
        <v>OK</v>
      </c>
    </row>
    <row r="5063" spans="1:4" x14ac:dyDescent="0.2">
      <c r="A5063" s="5">
        <v>5002</v>
      </c>
      <c r="B5063" s="138">
        <f>'Revenues 9-14'!C7</f>
        <v>110070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6934551</v>
      </c>
      <c r="C5066" s="2" t="s">
        <v>573</v>
      </c>
      <c r="D5066" s="2" t="str">
        <f t="shared" si="78"/>
        <v>Error?</v>
      </c>
    </row>
    <row r="5067" spans="1:4" x14ac:dyDescent="0.2">
      <c r="A5067" s="5">
        <v>5006</v>
      </c>
      <c r="B5067" s="138">
        <f>'Revenues 9-14'!C14</f>
        <v>339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213936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214275</v>
      </c>
      <c r="C5071" s="2" t="s">
        <v>573</v>
      </c>
      <c r="D5071" s="2" t="str">
        <f t="shared" si="78"/>
        <v>Error?</v>
      </c>
    </row>
    <row r="5072" spans="1:4" x14ac:dyDescent="0.2">
      <c r="A5072" s="5">
        <v>5011</v>
      </c>
      <c r="B5072" s="138">
        <f>'Revenues 9-14'!C20</f>
        <v>35972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266990</v>
      </c>
      <c r="D5074" s="2" t="str">
        <f t="shared" si="78"/>
        <v>Error?</v>
      </c>
    </row>
    <row r="5075" spans="1:4" x14ac:dyDescent="0.2">
      <c r="A5075" s="5">
        <v>5014</v>
      </c>
      <c r="B5075" s="138">
        <f>'Revenues 9-14'!C24</f>
        <v>8555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29466</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340983</v>
      </c>
      <c r="C5087" s="2" t="s">
        <v>573</v>
      </c>
      <c r="D5087" s="2" t="str">
        <f t="shared" si="78"/>
        <v>Error?</v>
      </c>
    </row>
    <row r="5088" spans="1:4" x14ac:dyDescent="0.2">
      <c r="A5088" s="5">
        <v>5027</v>
      </c>
      <c r="B5088" s="138">
        <f>'Revenues 9-14'!C65</f>
        <v>57930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57930</v>
      </c>
      <c r="C5090" s="2" t="s">
        <v>573</v>
      </c>
      <c r="D5090" s="2" t="str">
        <f t="shared" si="78"/>
        <v>Error?</v>
      </c>
    </row>
    <row r="5091" spans="1:4" x14ac:dyDescent="0.2">
      <c r="A5091" s="5">
        <v>5030</v>
      </c>
      <c r="B5091" s="138">
        <f>'Revenues 9-14'!C70</f>
        <v>12882</v>
      </c>
      <c r="D5091" s="2" t="str">
        <f t="shared" si="78"/>
        <v>Error?</v>
      </c>
    </row>
    <row r="5092" spans="1:4" x14ac:dyDescent="0.2">
      <c r="A5092" s="5">
        <v>5031</v>
      </c>
      <c r="B5092" s="138">
        <f>'Revenues 9-14'!C71</f>
        <v>361814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13962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708638</v>
      </c>
      <c r="C5096" s="2" t="s">
        <v>573</v>
      </c>
      <c r="D5096" s="2" t="str">
        <f t="shared" si="78"/>
        <v>Error?</v>
      </c>
    </row>
    <row r="5097" spans="1:4" x14ac:dyDescent="0.2">
      <c r="A5097" s="5">
        <v>5036</v>
      </c>
      <c r="B5097" s="138">
        <f>'Revenues 9-14'!C77</f>
        <v>38113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66899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105012</v>
      </c>
      <c r="C5102" s="2" t="s">
        <v>573</v>
      </c>
      <c r="D5102" s="2" t="str">
        <f t="shared" si="78"/>
        <v>Error?</v>
      </c>
    </row>
    <row r="5103" spans="1:4" x14ac:dyDescent="0.2">
      <c r="A5103" s="5">
        <v>5042</v>
      </c>
      <c r="B5103" s="138">
        <f>'Revenues 9-14'!C84</f>
        <v>187100</v>
      </c>
      <c r="D5103" s="2" t="str">
        <f t="shared" si="78"/>
        <v>Error?</v>
      </c>
    </row>
    <row r="5104" spans="1:4" x14ac:dyDescent="0.2">
      <c r="A5104" s="5">
        <v>5043</v>
      </c>
      <c r="B5104" s="138">
        <f>'Revenues 9-14'!C85</f>
        <v>275</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187375</v>
      </c>
      <c r="C5112" s="2" t="s">
        <v>573</v>
      </c>
      <c r="D5112" s="2" t="str">
        <f t="shared" si="78"/>
        <v>Error?</v>
      </c>
    </row>
    <row r="5113" spans="1:4" x14ac:dyDescent="0.2">
      <c r="A5113" s="5">
        <v>5052</v>
      </c>
      <c r="B5113" s="138">
        <f>'Revenues 9-14'!C95</f>
        <v>23783</v>
      </c>
      <c r="D5113" s="2" t="str">
        <f t="shared" si="78"/>
        <v>Error?</v>
      </c>
    </row>
    <row r="5114" spans="1:4" x14ac:dyDescent="0.2">
      <c r="A5114" s="5">
        <v>5053</v>
      </c>
      <c r="B5114" s="138">
        <f>'Revenues 9-14'!C96</f>
        <v>61543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8377</v>
      </c>
      <c r="D5119" s="2" t="str">
        <f t="shared" ref="D5119:D5182" si="79">IF(ISBLANK(B5119),"OK",IF(A5119-B5119=0,"OK","Error?"))</f>
        <v>Error?</v>
      </c>
    </row>
    <row r="5120" spans="1:4" x14ac:dyDescent="0.2">
      <c r="A5120" s="5">
        <v>5059</v>
      </c>
      <c r="B5120" s="138">
        <f>'Revenues 9-14'!C108</f>
        <v>132680</v>
      </c>
      <c r="C5120" s="2" t="s">
        <v>573</v>
      </c>
      <c r="D5120" s="2" t="str">
        <f t="shared" si="79"/>
        <v>Error?</v>
      </c>
    </row>
    <row r="5121" spans="1:4" x14ac:dyDescent="0.2">
      <c r="A5121" s="5">
        <v>5060</v>
      </c>
      <c r="B5121" s="138">
        <f>'Revenues 9-14'!C109</f>
        <v>8681444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7313797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7313797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952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952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5507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22044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1877</v>
      </c>
      <c r="D5167" s="2" t="str">
        <f t="shared" si="79"/>
        <v>Error?</v>
      </c>
    </row>
    <row r="5168" spans="1:4" x14ac:dyDescent="0.2">
      <c r="A5168" s="5">
        <v>5107</v>
      </c>
      <c r="B5168" s="138">
        <f>'Revenues 9-14'!C148</f>
        <v>38687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78000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146449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7460246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225643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19195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244838</v>
      </c>
      <c r="C5246" s="2" t="s">
        <v>573</v>
      </c>
      <c r="D5246" s="2" t="str">
        <f t="shared" si="80"/>
        <v>Error?</v>
      </c>
    </row>
    <row r="5247" spans="1:4" x14ac:dyDescent="0.2">
      <c r="A5247" s="5">
        <v>5186</v>
      </c>
      <c r="B5247" s="138">
        <f>'Revenues 9-14'!C200</f>
        <v>159950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23878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159950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395029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395029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890853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890853</v>
      </c>
      <c r="C5326" s="2" t="s">
        <v>573</v>
      </c>
      <c r="D5326" s="2" t="str">
        <f t="shared" si="82"/>
        <v>Error?</v>
      </c>
    </row>
    <row r="5327" spans="1:5" x14ac:dyDescent="0.2">
      <c r="A5327" s="5">
        <v>5266</v>
      </c>
      <c r="B5327" s="138">
        <f>'Revenues 9-14'!C268</f>
        <v>17032543</v>
      </c>
      <c r="C5327" s="2" t="s">
        <v>573</v>
      </c>
      <c r="D5327" s="2" t="str">
        <f t="shared" si="82"/>
        <v>Error?</v>
      </c>
    </row>
    <row r="5328" spans="1:5" x14ac:dyDescent="0.2">
      <c r="A5328" s="5">
        <v>5267</v>
      </c>
      <c r="B5328" s="138">
        <f>'Revenues 9-14'!D5</f>
        <v>1375873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1375873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10648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10648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v>
      </c>
      <c r="D5354" s="2" t="str">
        <f t="shared" si="82"/>
        <v>Error?</v>
      </c>
    </row>
    <row r="5355" spans="1:4" x14ac:dyDescent="0.2">
      <c r="A5355" s="5">
        <v>5294</v>
      </c>
      <c r="B5355" s="138">
        <f>'Revenues 9-14'!D108</f>
        <v>17134</v>
      </c>
      <c r="C5355" s="2" t="s">
        <v>573</v>
      </c>
      <c r="D5355" s="2" t="str">
        <f t="shared" si="82"/>
        <v>Error?</v>
      </c>
    </row>
    <row r="5356" spans="1:4" x14ac:dyDescent="0.2">
      <c r="A5356" s="5">
        <v>5295</v>
      </c>
      <c r="B5356" s="138">
        <f>'Revenues 9-14'!D109</f>
        <v>1403655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1403655</v>
      </c>
      <c r="C5508" s="2" t="s">
        <v>573</v>
      </c>
      <c r="D5508" s="2" t="str">
        <f t="shared" si="85"/>
        <v>Error?</v>
      </c>
    </row>
    <row r="5509" spans="1:4" x14ac:dyDescent="0.2">
      <c r="A5509" s="5">
        <v>5448</v>
      </c>
      <c r="B5509" s="138">
        <f>'Revenues 9-14'!E5</f>
        <v>530015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530015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1352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1352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1377920</v>
      </c>
      <c r="C5526" s="2" t="s">
        <v>573</v>
      </c>
      <c r="D5526" s="2" t="str">
        <f t="shared" si="85"/>
        <v>Error?</v>
      </c>
    </row>
    <row r="5527" spans="1:4" x14ac:dyDescent="0.2">
      <c r="A5527" s="5">
        <v>5466</v>
      </c>
      <c r="B5527" s="138">
        <f>'Revenues 9-14'!E109</f>
        <v>1909287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1909287</v>
      </c>
      <c r="C5552" s="2" t="s">
        <v>573</v>
      </c>
      <c r="D5552" s="2" t="str">
        <f t="shared" si="85"/>
        <v>Error?</v>
      </c>
    </row>
    <row r="5553" spans="1:4" x14ac:dyDescent="0.2">
      <c r="A5553" s="5">
        <v>5492</v>
      </c>
      <c r="B5553" s="138">
        <f>'Revenues 9-14'!F5</f>
        <v>550349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550349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612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10175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10787</v>
      </c>
      <c r="C5579" s="2" t="s">
        <v>573</v>
      </c>
      <c r="D5579" s="2" t="str">
        <f t="shared" si="86"/>
        <v>Error?</v>
      </c>
    </row>
    <row r="5580" spans="1:4" x14ac:dyDescent="0.2">
      <c r="A5580" s="5">
        <v>5519</v>
      </c>
      <c r="B5580" s="138">
        <f>'Revenues 9-14'!F65</f>
        <v>5903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5903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2176</v>
      </c>
      <c r="D5586" s="2" t="str">
        <f t="shared" si="86"/>
        <v>Error?</v>
      </c>
    </row>
    <row r="5587" spans="1:4" x14ac:dyDescent="0.2">
      <c r="A5587" s="5">
        <v>5526</v>
      </c>
      <c r="B5587" s="138">
        <f>'Revenues 9-14'!F108</f>
        <v>2176</v>
      </c>
      <c r="C5587" s="2" t="s">
        <v>573</v>
      </c>
      <c r="D5587" s="2" t="str">
        <f t="shared" si="86"/>
        <v>Error?</v>
      </c>
    </row>
    <row r="5588" spans="1:4" x14ac:dyDescent="0.2">
      <c r="A5588" s="5">
        <v>5527</v>
      </c>
      <c r="B5588" s="138">
        <f>'Revenues 9-14'!F109</f>
        <v>569215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487675</v>
      </c>
      <c r="D5615" s="2" t="str">
        <f t="shared" si="86"/>
        <v>Error?</v>
      </c>
    </row>
    <row r="5616" spans="1:4" x14ac:dyDescent="0.2">
      <c r="A5616" s="10">
        <v>5555</v>
      </c>
      <c r="D5616" s="2" t="str">
        <f t="shared" si="86"/>
        <v>OK</v>
      </c>
    </row>
    <row r="5617" spans="1:5" x14ac:dyDescent="0.2">
      <c r="A5617" s="5">
        <v>5556</v>
      </c>
      <c r="B5617" s="138">
        <f>'Revenues 9-14'!F153</f>
        <v>173202</v>
      </c>
      <c r="D5617" s="2" t="str">
        <f t="shared" si="86"/>
        <v>Error?</v>
      </c>
    </row>
    <row r="5618" spans="1:5" x14ac:dyDescent="0.2">
      <c r="A5618" s="5">
        <v>5557</v>
      </c>
      <c r="B5618" s="138">
        <f>'Revenues 9-14'!F155</f>
        <v>660877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660877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660877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1230092</v>
      </c>
      <c r="C5720" s="2" t="s">
        <v>573</v>
      </c>
      <c r="D5720" s="2" t="str">
        <f t="shared" si="88"/>
        <v>Error?</v>
      </c>
    </row>
    <row r="5721" spans="1:4" x14ac:dyDescent="0.2">
      <c r="A5721" s="5">
        <v>5660</v>
      </c>
      <c r="B5721" s="138">
        <f>'Revenues 9-14'!G5</f>
        <v>308527</v>
      </c>
      <c r="D5721" s="2" t="str">
        <f t="shared" si="88"/>
        <v>Error?</v>
      </c>
    </row>
    <row r="5722" spans="1:4" x14ac:dyDescent="0.2">
      <c r="A5722" s="5">
        <v>5661</v>
      </c>
      <c r="B5722" s="138">
        <f>'Revenues 9-14'!G7</f>
        <v>0</v>
      </c>
      <c r="D5722" s="2" t="str">
        <f t="shared" si="88"/>
        <v>Error?</v>
      </c>
    </row>
    <row r="5723" spans="1:4" x14ac:dyDescent="0.2">
      <c r="A5723" s="5">
        <v>5662</v>
      </c>
      <c r="B5723" s="138">
        <f>'Revenues 9-14'!G8</f>
        <v>308526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617053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15000</v>
      </c>
      <c r="C5730" s="2" t="s">
        <v>573</v>
      </c>
      <c r="D5730" s="2" t="str">
        <f t="shared" si="88"/>
        <v>Error?</v>
      </c>
    </row>
    <row r="5731" spans="1:4" x14ac:dyDescent="0.2">
      <c r="A5731" s="5">
        <v>5670</v>
      </c>
      <c r="B5731" s="138">
        <f>'Revenues 9-14'!G65</f>
        <v>4375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4375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636428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15007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15007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38691</v>
      </c>
      <c r="D5885" s="2" t="str">
        <f t="shared" si="90"/>
        <v>Error?</v>
      </c>
    </row>
    <row r="5886" spans="1:4" x14ac:dyDescent="0.2">
      <c r="A5886" s="5">
        <v>5825</v>
      </c>
      <c r="B5886" s="138">
        <f>'Revenues 9-14'!H108</f>
        <v>110560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125567</v>
      </c>
      <c r="C5915" s="2" t="s">
        <v>573</v>
      </c>
      <c r="D5915" s="2" t="str">
        <f t="shared" si="91"/>
        <v>Error?</v>
      </c>
    </row>
    <row r="5916" spans="1:4" x14ac:dyDescent="0.2">
      <c r="A5916" s="5">
        <v>5855</v>
      </c>
      <c r="B5916" s="138">
        <f>'Revenues 9-14'!I5</f>
        <v>137586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137586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11581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11581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149167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137586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137586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6836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6836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144422</v>
      </c>
      <c r="C6023" s="2" t="s">
        <v>573</v>
      </c>
      <c r="D6023" s="2" t="str">
        <f t="shared" si="93"/>
        <v>Error?</v>
      </c>
    </row>
    <row r="6024" spans="1:5" x14ac:dyDescent="0.2">
      <c r="A6024" s="5">
        <v>5963</v>
      </c>
      <c r="B6024" s="138">
        <f>'Revenues 9-14'!G109</f>
        <v>636428</v>
      </c>
      <c r="C6024" s="2" t="s">
        <v>573</v>
      </c>
      <c r="D6024" s="2" t="str">
        <f t="shared" si="93"/>
        <v>Error?</v>
      </c>
    </row>
    <row r="6025" spans="1:5" x14ac:dyDescent="0.2">
      <c r="A6025" s="5">
        <v>5964</v>
      </c>
      <c r="B6025" s="138">
        <f>'Revenues 9-14'!H109</f>
        <v>125567</v>
      </c>
      <c r="C6025" s="2" t="s">
        <v>573</v>
      </c>
      <c r="D6025" s="2" t="str">
        <f t="shared" si="93"/>
        <v>Error?</v>
      </c>
    </row>
    <row r="6026" spans="1:5" x14ac:dyDescent="0.2">
      <c r="A6026" s="5">
        <v>5965</v>
      </c>
      <c r="B6026" s="138">
        <f>'Revenues 9-14'!I109</f>
        <v>149167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144422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319980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34716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2279.6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2179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2179</v>
      </c>
      <c r="D6215" s="2" t="str">
        <f t="shared" si="96"/>
        <v>Error?</v>
      </c>
      <c r="E6215" s="2" t="s">
        <v>190</v>
      </c>
    </row>
    <row r="6216" spans="1:5" x14ac:dyDescent="0.2">
      <c r="A6216">
        <v>6155</v>
      </c>
      <c r="B6216" s="138">
        <f>'Assets-Liab 5-6'!J41</f>
        <v>2179</v>
      </c>
      <c r="D6216" s="2" t="str">
        <f t="shared" si="96"/>
        <v>Error?</v>
      </c>
      <c r="E6216" s="2" t="s">
        <v>190</v>
      </c>
    </row>
    <row r="6217" spans="1:5" x14ac:dyDescent="0.2">
      <c r="A6217">
        <v>6156</v>
      </c>
      <c r="B6217" s="138">
        <f>'Assets-Liab 5-6'!J4</f>
        <v>2179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642762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642762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642762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642763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642763</v>
      </c>
      <c r="D6229" s="2" t="str">
        <f t="shared" si="96"/>
        <v>Error?</v>
      </c>
      <c r="E6229" s="2" t="s">
        <v>190</v>
      </c>
    </row>
    <row r="6230" spans="1:5" x14ac:dyDescent="0.2">
      <c r="A6230">
        <v>6169</v>
      </c>
      <c r="B6230" s="138">
        <f>'Acct Summary 7-8'!J20</f>
        <v>-1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v>
      </c>
      <c r="D6263" s="2" t="str">
        <f t="shared" si="96"/>
        <v>Error?</v>
      </c>
      <c r="E6263" s="2" t="s">
        <v>190</v>
      </c>
    </row>
    <row r="6264" spans="1:5" x14ac:dyDescent="0.2">
      <c r="A6264">
        <v>6203</v>
      </c>
      <c r="B6264" s="138">
        <f>'Acct Summary 7-8'!J79</f>
        <v>2180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2179</v>
      </c>
      <c r="D6266" s="2" t="str">
        <f t="shared" si="96"/>
        <v>Error?</v>
      </c>
      <c r="E6266" s="2" t="s">
        <v>190</v>
      </c>
    </row>
    <row r="6267" spans="1:5" x14ac:dyDescent="0.2">
      <c r="A6267">
        <v>6206</v>
      </c>
      <c r="B6267" s="138">
        <f>'Acct Summary 7-8'!C82</f>
        <v>3508</v>
      </c>
      <c r="D6267" s="2" t="str">
        <f t="shared" si="96"/>
        <v>Error?</v>
      </c>
      <c r="E6267" s="2" t="s">
        <v>190</v>
      </c>
    </row>
    <row r="6268" spans="1:5" x14ac:dyDescent="0.2">
      <c r="A6268">
        <v>6207</v>
      </c>
      <c r="B6268" s="138">
        <f>'Acct Summary 7-8'!D82</f>
        <v>1905</v>
      </c>
      <c r="D6268" s="2" t="str">
        <f t="shared" si="96"/>
        <v>Error?</v>
      </c>
      <c r="E6268" s="2" t="s">
        <v>190</v>
      </c>
    </row>
    <row r="6269" spans="1:5" x14ac:dyDescent="0.2">
      <c r="A6269">
        <v>6208</v>
      </c>
      <c r="B6269" s="138">
        <f>'Acct Summary 7-8'!E82</f>
        <v>38</v>
      </c>
      <c r="D6269" s="2" t="str">
        <f t="shared" si="96"/>
        <v>Error?</v>
      </c>
      <c r="E6269" s="2" t="s">
        <v>190</v>
      </c>
    </row>
    <row r="6270" spans="1:5" x14ac:dyDescent="0.2">
      <c r="A6270">
        <v>6209</v>
      </c>
      <c r="B6270" s="138">
        <f>'Acct Summary 7-8'!F82</f>
        <v>11337</v>
      </c>
      <c r="D6270" s="2" t="str">
        <f t="shared" si="96"/>
        <v>Error?</v>
      </c>
      <c r="E6270" s="2" t="s">
        <v>190</v>
      </c>
    </row>
    <row r="6271" spans="1:5" x14ac:dyDescent="0.2">
      <c r="A6271">
        <v>6210</v>
      </c>
      <c r="B6271" s="138">
        <f>'Acct Summary 7-8'!G82</f>
        <v>4291</v>
      </c>
      <c r="D6271" s="2" t="str">
        <f t="shared" ref="D6271:D6334" si="97">IF(ISBLANK(B6271),"OK",IF(A6271-B6271=0,"OK","Error?"))</f>
        <v>Error?</v>
      </c>
      <c r="E6271" s="2" t="s">
        <v>190</v>
      </c>
    </row>
    <row r="6272" spans="1:5" x14ac:dyDescent="0.2">
      <c r="A6272">
        <v>6211</v>
      </c>
      <c r="B6272" s="138">
        <f>'Acct Summary 7-8'!H82</f>
        <v>-236935</v>
      </c>
      <c r="D6272" s="2" t="str">
        <f t="shared" si="97"/>
        <v>Error?</v>
      </c>
      <c r="E6272" s="2" t="s">
        <v>190</v>
      </c>
    </row>
    <row r="6273" spans="1:5" x14ac:dyDescent="0.2">
      <c r="A6273">
        <v>6212</v>
      </c>
      <c r="B6273" s="138">
        <f>'Acct Summary 7-8'!I82</f>
        <v>149167</v>
      </c>
      <c r="D6273" s="2" t="str">
        <f t="shared" si="97"/>
        <v>Error?</v>
      </c>
      <c r="E6273" s="2" t="s">
        <v>190</v>
      </c>
    </row>
    <row r="6274" spans="1:5" x14ac:dyDescent="0.2">
      <c r="A6274">
        <v>6213</v>
      </c>
      <c r="B6274" s="138">
        <f>'Acct Summary 7-8'!J82</f>
        <v>-1</v>
      </c>
      <c r="D6274" s="2" t="str">
        <f t="shared" si="97"/>
        <v>Error?</v>
      </c>
      <c r="E6274" s="2" t="s">
        <v>190</v>
      </c>
    </row>
    <row r="6275" spans="1:5" x14ac:dyDescent="0.2">
      <c r="A6275">
        <v>6214</v>
      </c>
      <c r="B6275" s="138">
        <f>'Acct Summary 7-8'!K82</f>
        <v>144422</v>
      </c>
      <c r="D6275" s="2" t="str">
        <f t="shared" si="97"/>
        <v>Error?</v>
      </c>
      <c r="E6275" s="2" t="s">
        <v>190</v>
      </c>
    </row>
    <row r="6276" spans="1:5" x14ac:dyDescent="0.2">
      <c r="A6276">
        <v>6215</v>
      </c>
      <c r="B6276" s="138">
        <f>'Acct Summary 7-8'!C83</f>
        <v>1.0152630972701925E-3</v>
      </c>
      <c r="D6276" s="2" t="str">
        <f t="shared" si="97"/>
        <v>Error?</v>
      </c>
      <c r="E6276" s="2" t="s">
        <v>190</v>
      </c>
    </row>
    <row r="6277" spans="1:5" x14ac:dyDescent="0.2">
      <c r="A6277">
        <v>6216</v>
      </c>
      <c r="B6277" s="138">
        <f>'Acct Summary 7-8'!D83</f>
        <v>2.2616268992323527E-3</v>
      </c>
      <c r="D6277" s="2" t="str">
        <f t="shared" si="97"/>
        <v>Error?</v>
      </c>
      <c r="E6277" s="2" t="s">
        <v>190</v>
      </c>
    </row>
    <row r="6278" spans="1:5" x14ac:dyDescent="0.2">
      <c r="A6278">
        <v>6217</v>
      </c>
      <c r="B6278" s="138">
        <f>'Acct Summary 7-8'!E83</f>
        <v>7.3502673176166559E-5</v>
      </c>
      <c r="D6278" s="2" t="str">
        <f t="shared" si="97"/>
        <v>Error?</v>
      </c>
      <c r="E6278" s="2" t="s">
        <v>190</v>
      </c>
    </row>
    <row r="6279" spans="1:5" x14ac:dyDescent="0.2">
      <c r="A6279">
        <v>6218</v>
      </c>
      <c r="B6279" s="138">
        <f>'Acct Summary 7-8'!F83</f>
        <v>1.8528657558963362E-2</v>
      </c>
      <c r="D6279" s="2" t="str">
        <f t="shared" si="97"/>
        <v>Error?</v>
      </c>
      <c r="E6279" s="2" t="s">
        <v>190</v>
      </c>
    </row>
    <row r="6280" spans="1:5" x14ac:dyDescent="0.2">
      <c r="A6280">
        <v>6219</v>
      </c>
      <c r="B6280" s="138">
        <f>'Acct Summary 7-8'!G83</f>
        <v>1.1921961302941732E-2</v>
      </c>
      <c r="D6280" s="2" t="str">
        <f t="shared" si="97"/>
        <v>Error?</v>
      </c>
      <c r="E6280" s="2" t="s">
        <v>190</v>
      </c>
    </row>
    <row r="6281" spans="1:5" x14ac:dyDescent="0.2">
      <c r="A6281">
        <v>6220</v>
      </c>
      <c r="B6281" s="138">
        <f>'Acct Summary 7-8'!H83</f>
        <v>-0.19093079720568243</v>
      </c>
      <c r="D6281" s="2" t="str">
        <f t="shared" si="97"/>
        <v>Error?</v>
      </c>
      <c r="E6281" s="2" t="s">
        <v>190</v>
      </c>
    </row>
    <row r="6282" spans="1:5" x14ac:dyDescent="0.2">
      <c r="A6282">
        <v>6221</v>
      </c>
      <c r="B6282" s="138">
        <f>'Acct Summary 7-8'!I83</f>
        <v>0.12519870879153161</v>
      </c>
      <c r="D6282" s="2" t="str">
        <f t="shared" si="97"/>
        <v>Error?</v>
      </c>
      <c r="E6282" s="2" t="s">
        <v>190</v>
      </c>
    </row>
    <row r="6283" spans="1:5" x14ac:dyDescent="0.2">
      <c r="A6283">
        <v>6222</v>
      </c>
      <c r="B6283" s="138">
        <f>'Acct Summary 7-8'!J83</f>
        <v>-4.5892611289582378E-4</v>
      </c>
      <c r="D6283" s="2" t="str">
        <f t="shared" si="97"/>
        <v>Error?</v>
      </c>
      <c r="E6283" s="2" t="s">
        <v>190</v>
      </c>
    </row>
    <row r="6284" spans="1:5" x14ac:dyDescent="0.2">
      <c r="A6284">
        <v>6223</v>
      </c>
      <c r="B6284" s="138">
        <f>'Acct Summary 7-8'!K83</f>
        <v>0.16938056501627871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641955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641955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807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807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33077</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5514</v>
      </c>
      <c r="D6339" s="2" t="str">
        <f t="shared" si="98"/>
        <v>Error?</v>
      </c>
      <c r="E6339" s="2" t="s">
        <v>190</v>
      </c>
    </row>
    <row r="6340" spans="1:5" x14ac:dyDescent="0.2">
      <c r="A6340">
        <v>6279</v>
      </c>
      <c r="B6340" s="138">
        <f>'Revenues 9-14'!C102</f>
        <v>386</v>
      </c>
      <c r="D6340" s="2" t="str">
        <f t="shared" si="98"/>
        <v>Error?</v>
      </c>
      <c r="E6340" s="2" t="s">
        <v>190</v>
      </c>
    </row>
    <row r="6341" spans="1:5" x14ac:dyDescent="0.2">
      <c r="A6341">
        <v>6280</v>
      </c>
      <c r="B6341" s="138">
        <f>'Revenues 9-14'!D102</f>
        <v>17132</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642762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16537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67074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91272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99070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642763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642762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3696</v>
      </c>
      <c r="D7073" s="2" t="str">
        <f t="shared" si="109"/>
        <v>Error?</v>
      </c>
    </row>
    <row r="7074" spans="1:4" x14ac:dyDescent="0.2">
      <c r="A7074">
        <v>7013</v>
      </c>
      <c r="B7074" s="138">
        <f>'Expenditures 15-22'!K216</f>
        <v>3696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1183</v>
      </c>
      <c r="D7079" s="2" t="str">
        <f t="shared" si="109"/>
        <v>Error?</v>
      </c>
    </row>
    <row r="7080" spans="1:4" x14ac:dyDescent="0.2">
      <c r="A7080">
        <v>7019</v>
      </c>
      <c r="B7080" s="138">
        <f>'Expenditures 15-22'!K226</f>
        <v>1183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271992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271992</v>
      </c>
      <c r="D7153" s="2" t="str">
        <f t="shared" si="110"/>
        <v>Error?</v>
      </c>
    </row>
    <row r="7154" spans="1:4" x14ac:dyDescent="0.2">
      <c r="A7154">
        <v>7093</v>
      </c>
      <c r="B7154" s="138">
        <f>'Expenditures 15-22'!C323</f>
        <v>179200</v>
      </c>
      <c r="D7154" s="2" t="str">
        <f t="shared" si="110"/>
        <v>Error?</v>
      </c>
    </row>
    <row r="7155" spans="1:4" x14ac:dyDescent="0.2">
      <c r="A7155">
        <v>7094</v>
      </c>
      <c r="B7155" s="138">
        <f>'Expenditures 15-22'!D323</f>
        <v>31900</v>
      </c>
      <c r="D7155" s="2" t="str">
        <f t="shared" si="110"/>
        <v>Error?</v>
      </c>
    </row>
    <row r="7156" spans="1:4" x14ac:dyDescent="0.2">
      <c r="A7156">
        <v>7095</v>
      </c>
      <c r="B7156" s="138">
        <f>'Expenditures 15-22'!E323</f>
        <v>55000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266100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65900</v>
      </c>
      <c r="D7172" s="2" t="str">
        <f t="shared" si="111"/>
        <v>Error?</v>
      </c>
    </row>
    <row r="7173" spans="1:4" x14ac:dyDescent="0.2">
      <c r="A7173">
        <v>7112</v>
      </c>
      <c r="B7173" s="138">
        <f>'Expenditures 15-22'!D325</f>
        <v>14300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80200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24471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24471</v>
      </c>
      <c r="D7198" s="2" t="str">
        <f t="shared" si="111"/>
        <v>Error?</v>
      </c>
    </row>
    <row r="7199" spans="1:4" x14ac:dyDescent="0.2">
      <c r="A7199">
        <v>7138</v>
      </c>
      <c r="B7199" s="138">
        <f>'Expenditures 15-22'!C330</f>
        <v>245100</v>
      </c>
      <c r="D7199" s="2" t="str">
        <f t="shared" si="111"/>
        <v>Error?</v>
      </c>
    </row>
    <row r="7200" spans="1:4" x14ac:dyDescent="0.2">
      <c r="A7200">
        <v>7139</v>
      </c>
      <c r="B7200" s="138">
        <f>'Expenditures 15-22'!D330</f>
        <v>46200</v>
      </c>
      <c r="D7200" s="2" t="str">
        <f t="shared" si="111"/>
        <v>Error?</v>
      </c>
    </row>
    <row r="7201" spans="1:4" x14ac:dyDescent="0.2">
      <c r="A7201">
        <v>7140</v>
      </c>
      <c r="B7201" s="138">
        <f>'Expenditures 15-22'!E330</f>
        <v>351463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642763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245100</v>
      </c>
      <c r="D7216" s="2" t="str">
        <f t="shared" si="111"/>
        <v>Error?</v>
      </c>
    </row>
    <row r="7217" spans="1:4" x14ac:dyDescent="0.2">
      <c r="A7217">
        <v>7156</v>
      </c>
      <c r="B7217" s="138">
        <f>'Expenditures 15-22'!D342</f>
        <v>46200</v>
      </c>
      <c r="D7217" s="2" t="str">
        <f t="shared" si="111"/>
        <v>Error?</v>
      </c>
    </row>
    <row r="7218" spans="1:4" x14ac:dyDescent="0.2">
      <c r="A7218">
        <v>7157</v>
      </c>
      <c r="B7218" s="138">
        <f>'Expenditures 15-22'!E342</f>
        <v>351463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642763</v>
      </c>
      <c r="D7224" s="2" t="str">
        <f t="shared" si="111"/>
        <v>Error?</v>
      </c>
    </row>
    <row r="7225" spans="1:4" x14ac:dyDescent="0.2">
      <c r="A7225">
        <v>7164</v>
      </c>
      <c r="B7225" s="138">
        <f>'Expenditures 15-22'!K343</f>
        <v>-1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23255</v>
      </c>
      <c r="D7246" s="2" t="str">
        <f t="shared" si="112"/>
        <v>Error?</v>
      </c>
    </row>
    <row r="7247" spans="1:4" x14ac:dyDescent="0.2">
      <c r="A7247">
        <f t="shared" si="113"/>
        <v>7186</v>
      </c>
      <c r="B7247" s="138">
        <f>'Expenditures 15-22'!E7</f>
        <v>35</v>
      </c>
      <c r="D7247" s="2" t="str">
        <f t="shared" si="112"/>
        <v>Error?</v>
      </c>
    </row>
    <row r="7248" spans="1:4" x14ac:dyDescent="0.2">
      <c r="A7248">
        <f t="shared" si="113"/>
        <v>7187</v>
      </c>
      <c r="B7248" s="138">
        <f>'Expenditures 15-22'!F7</f>
        <v>908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82432</v>
      </c>
      <c r="D7263" s="2" t="str">
        <f t="shared" si="112"/>
        <v>Error?</v>
      </c>
    </row>
    <row r="7264" spans="1:4" x14ac:dyDescent="0.2">
      <c r="A7264">
        <f t="shared" si="113"/>
        <v>7203</v>
      </c>
      <c r="B7264" s="138">
        <f>'Expenditures 15-22'!D17</f>
        <v>16588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50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1312747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-450421</v>
      </c>
      <c r="D7709" s="2" t="str">
        <f t="shared" si="126"/>
        <v>Error?</v>
      </c>
      <c r="E7709" s="2" t="s">
        <v>827</v>
      </c>
    </row>
    <row r="7710" spans="1:5" x14ac:dyDescent="0.2">
      <c r="A7710">
        <v>7649</v>
      </c>
      <c r="B7710" s="138">
        <f>'Rest Tax Levies-Tort Im 25'!J6</f>
        <v>1352</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5514</v>
      </c>
      <c r="D7712" s="2" t="str">
        <f t="shared" si="126"/>
        <v>Error?</v>
      </c>
      <c r="E7712" s="2" t="s">
        <v>827</v>
      </c>
    </row>
    <row r="7713" spans="1:6" x14ac:dyDescent="0.2">
      <c r="A7713">
        <v>7652</v>
      </c>
      <c r="B7713" s="138">
        <f>'Rest Tax Levies-Tort Im 25'!J8</f>
        <v>1449789</v>
      </c>
      <c r="D7713" s="2" t="str">
        <f t="shared" si="126"/>
        <v>Error?</v>
      </c>
      <c r="E7713" s="2" t="s">
        <v>827</v>
      </c>
    </row>
    <row r="7714" spans="1:6" x14ac:dyDescent="0.2">
      <c r="A7714">
        <v>7653</v>
      </c>
      <c r="B7714" s="138">
        <f>'Rest Tax Levies-Tort Im 25'!K9</f>
        <v>38687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1451141</v>
      </c>
      <c r="D7718" s="2" t="str">
        <f t="shared" si="126"/>
        <v>Error?</v>
      </c>
      <c r="E7718" s="2" t="s">
        <v>827</v>
      </c>
    </row>
    <row r="7719" spans="1:6" x14ac:dyDescent="0.2">
      <c r="A7719">
        <v>7658</v>
      </c>
      <c r="B7719" s="138">
        <f>'Rest Tax Levies-Tort Im 25'!K12</f>
        <v>44201</v>
      </c>
      <c r="D7719" s="2" t="str">
        <f t="shared" si="126"/>
        <v>Error?</v>
      </c>
      <c r="E7719" s="2" t="s">
        <v>827</v>
      </c>
    </row>
    <row r="7720" spans="1:6" x14ac:dyDescent="0.2">
      <c r="A7720">
        <v>7659</v>
      </c>
      <c r="B7720" s="138">
        <f>'Rest Tax Levies-Tort Im 25'!H14</f>
        <v>110070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861141</v>
      </c>
      <c r="D7724" s="2" t="str">
        <f t="shared" si="126"/>
        <v>Error?</v>
      </c>
      <c r="E7724" s="2" t="s">
        <v>827</v>
      </c>
      <c r="F7724" s="2"/>
    </row>
    <row r="7725" spans="1:6" x14ac:dyDescent="0.2">
      <c r="A7725">
        <v>7664</v>
      </c>
      <c r="B7725" s="138">
        <f>'Rest Tax Levies-Tort Im 25'!J19</f>
        <v>590000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1451141</v>
      </c>
      <c r="D7727" s="2" t="str">
        <f t="shared" si="126"/>
        <v>Error?</v>
      </c>
      <c r="E7727" s="2" t="s">
        <v>827</v>
      </c>
    </row>
    <row r="7728" spans="1:6" x14ac:dyDescent="0.2">
      <c r="A7728">
        <v>7667</v>
      </c>
      <c r="B7728" s="138">
        <f>'Revenues 9-14'!E103</f>
        <v>1377920</v>
      </c>
      <c r="D7728" s="2" t="str">
        <f t="shared" si="126"/>
        <v>Error?</v>
      </c>
      <c r="E7728" s="2" t="s">
        <v>827</v>
      </c>
    </row>
    <row r="7729" spans="1:6" x14ac:dyDescent="0.2">
      <c r="A7729">
        <v>7668</v>
      </c>
      <c r="B7729" s="138">
        <f>'Rest Tax Levies-Tort Im 25'!K22</f>
        <v>99070</v>
      </c>
      <c r="D7729" s="2" t="str">
        <f t="shared" si="126"/>
        <v>Error?</v>
      </c>
      <c r="E7729" s="2" t="s">
        <v>827</v>
      </c>
    </row>
    <row r="7730" spans="1:6" x14ac:dyDescent="0.2">
      <c r="A7730">
        <v>7669</v>
      </c>
      <c r="B7730" s="138">
        <f>'Rest Tax Levies-Tort Im 25'!J23</f>
        <v>1451141</v>
      </c>
      <c r="D7730" s="2" t="str">
        <f t="shared" si="126"/>
        <v>Error?</v>
      </c>
      <c r="E7730" s="2" t="s">
        <v>827</v>
      </c>
    </row>
    <row r="7731" spans="1:6" x14ac:dyDescent="0.2">
      <c r="A7731">
        <v>7670</v>
      </c>
      <c r="B7731" s="138">
        <f>'Revenues 9-14'!H103</f>
        <v>71869</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-505290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-505290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105520</v>
      </c>
      <c r="D7797" s="2" t="str">
        <f t="shared" si="127"/>
        <v>Error?</v>
      </c>
      <c r="E7797" s="4" t="s">
        <v>1900</v>
      </c>
    </row>
    <row r="7798" spans="1:5" x14ac:dyDescent="0.2">
      <c r="A7798">
        <v>7737</v>
      </c>
      <c r="B7798" s="138">
        <f>'Contracts Paid in CY 29'!F141</f>
        <v>42972</v>
      </c>
      <c r="D7798" s="2" t="str">
        <f t="shared" si="127"/>
        <v>Error?</v>
      </c>
      <c r="E7798" s="4" t="s">
        <v>1900</v>
      </c>
    </row>
    <row r="7799" spans="1:5" x14ac:dyDescent="0.2">
      <c r="A7799">
        <v>7738</v>
      </c>
      <c r="B7799" s="138">
        <f>'Contracts Paid in CY 29'!G141</f>
        <v>57548</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1985</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3" t="str">
        <f>COVER!A17</f>
        <v>Mt Zion CUSD 3</v>
      </c>
      <c r="B7" s="2384"/>
      <c r="C7" s="2384"/>
      <c r="D7" s="2421"/>
      <c r="E7" s="2422">
        <f>COVER!A13</f>
        <v>39055003026</v>
      </c>
      <c r="F7" s="2423"/>
      <c r="G7" s="2390" t="str">
        <f>COVER!T23</f>
        <v>066-003844</v>
      </c>
      <c r="H7" s="2391"/>
      <c r="I7" s="2391"/>
      <c r="J7" s="2391"/>
      <c r="K7" s="2391"/>
      <c r="L7" s="239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3"/>
      <c r="B9" s="2394"/>
      <c r="C9" s="2394"/>
      <c r="D9" s="2394"/>
      <c r="E9" s="2394"/>
      <c r="F9" s="2395"/>
      <c r="G9" s="2396" t="str">
        <f>COVER!T13</f>
        <v>BKD, LLP</v>
      </c>
      <c r="H9" s="2397"/>
      <c r="I9" s="2397"/>
      <c r="J9" s="2397"/>
      <c r="K9" s="2397"/>
      <c r="L9" s="2398"/>
    </row>
    <row r="10" spans="1:29" ht="13.5" customHeight="1" x14ac:dyDescent="0.2">
      <c r="A10" s="2380" t="str">
        <f>COVER!A38</f>
        <v>Mr. Travis Roundcount</v>
      </c>
      <c r="B10" s="2381"/>
      <c r="C10" s="2381"/>
      <c r="D10" s="2381"/>
      <c r="E10" s="2381"/>
      <c r="F10" s="2382"/>
      <c r="G10" s="2396" t="str">
        <f>COVER!T17</f>
        <v>225 North Water Street, Suite 400</v>
      </c>
      <c r="H10" s="2409"/>
      <c r="I10" s="2409"/>
      <c r="J10" s="2409"/>
      <c r="K10" s="2409"/>
      <c r="L10" s="2410"/>
    </row>
    <row r="11" spans="1:29" ht="13.5" customHeight="1" x14ac:dyDescent="0.2">
      <c r="A11" s="1184" t="s">
        <v>1519</v>
      </c>
      <c r="B11" s="1185"/>
      <c r="C11" s="1186"/>
      <c r="D11" s="1191"/>
      <c r="E11" s="1186"/>
      <c r="F11" s="1190"/>
      <c r="G11" s="2396" t="str">
        <f>COVER!T19</f>
        <v>Decatur</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t="str">
        <f>COVER!T25</f>
        <v>hpowell@bkd.com</v>
      </c>
      <c r="J13" s="2418"/>
      <c r="K13" s="2418"/>
      <c r="L13" s="2419"/>
    </row>
    <row r="14" spans="1:29" ht="13.5" customHeight="1" x14ac:dyDescent="0.2">
      <c r="A14" s="2396" t="str">
        <f>COVER!A19</f>
        <v>1595 W. Main Street</v>
      </c>
      <c r="B14" s="2409"/>
      <c r="C14" s="2409"/>
      <c r="D14" s="2409"/>
      <c r="E14" s="2409"/>
      <c r="F14" s="2410"/>
      <c r="G14" s="1195" t="s">
        <v>1185</v>
      </c>
      <c r="H14" s="1193"/>
      <c r="I14" s="1193"/>
      <c r="J14" s="1193"/>
      <c r="K14" s="1193"/>
      <c r="L14" s="1194"/>
    </row>
    <row r="15" spans="1:29" ht="13.5" customHeight="1" x14ac:dyDescent="0.2">
      <c r="A15" s="2396" t="str">
        <f>COVER!A21</f>
        <v>Mt. Zion</v>
      </c>
      <c r="B15" s="2409"/>
      <c r="C15" s="2409"/>
      <c r="D15" s="2409"/>
      <c r="E15" s="2409"/>
      <c r="F15" s="2410"/>
      <c r="G15" s="2406" t="str">
        <f>COVER!T15</f>
        <v>Heather Powell</v>
      </c>
      <c r="H15" s="2407"/>
      <c r="I15" s="2407"/>
      <c r="J15" s="2407"/>
      <c r="K15" s="2407"/>
      <c r="L15" s="2408"/>
    </row>
    <row r="16" spans="1:29" ht="12.2" customHeight="1" x14ac:dyDescent="0.2">
      <c r="A16" s="2386">
        <f>COVER!A25</f>
        <v>62549</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5" t="s">
        <v>1184</v>
      </c>
      <c r="H17" s="1193"/>
      <c r="I17" s="1193"/>
      <c r="J17" s="1193"/>
      <c r="K17" s="1197" t="s">
        <v>1183</v>
      </c>
      <c r="L17" s="1190"/>
      <c r="M17" s="1183"/>
    </row>
    <row r="18" spans="1:13" ht="12.2" customHeight="1" x14ac:dyDescent="0.2">
      <c r="A18" s="2380"/>
      <c r="B18" s="2381"/>
      <c r="C18" s="2381"/>
      <c r="D18" s="2381"/>
      <c r="E18" s="2381"/>
      <c r="F18" s="2382"/>
      <c r="G18" s="2383" t="str">
        <f>COVER!T21</f>
        <v>217-429-2411</v>
      </c>
      <c r="H18" s="2384"/>
      <c r="I18" s="2384"/>
      <c r="J18" s="2384"/>
      <c r="K18" s="2383" t="str">
        <f>COVER!X21</f>
        <v>217-429-6109</v>
      </c>
      <c r="L18" s="238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Mt Zion CUSD 3</v>
      </c>
      <c r="B1" s="2420"/>
      <c r="C1" s="2420"/>
      <c r="D1" s="2420"/>
    </row>
    <row r="2" spans="1:11" s="1212" customFormat="1" ht="12.75" x14ac:dyDescent="0.2">
      <c r="A2" s="2425">
        <f>'Single Audit Cover'!E7</f>
        <v>39055003026</v>
      </c>
      <c r="B2" s="2426"/>
      <c r="C2" s="2426"/>
      <c r="D2" s="2426"/>
    </row>
    <row r="3" spans="1:11" s="1212" customFormat="1" ht="12.75" x14ac:dyDescent="0.2">
      <c r="A3" s="2424" t="s">
        <v>1513</v>
      </c>
      <c r="B3" s="2420"/>
      <c r="C3" s="2420"/>
      <c r="D3" s="242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Mt Zion CUSD 3</v>
      </c>
      <c r="B1" s="2428"/>
      <c r="C1" s="2428"/>
      <c r="D1" s="2428"/>
      <c r="E1" s="2428"/>
    </row>
    <row r="2" spans="1:5" x14ac:dyDescent="0.2">
      <c r="A2" s="2429">
        <f>'Single Audit Cover'!E7</f>
        <v>39055003026</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890853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34716</v>
      </c>
    </row>
    <row r="15" spans="1:5" x14ac:dyDescent="0.2">
      <c r="A15" s="1258"/>
      <c r="B15" s="1259"/>
      <c r="C15" s="1259"/>
    </row>
    <row r="16" spans="1:5" x14ac:dyDescent="0.2">
      <c r="A16" s="1258" t="s">
        <v>1840</v>
      </c>
      <c r="B16" s="1259"/>
      <c r="C16" s="1259"/>
    </row>
    <row r="17" spans="1:4" x14ac:dyDescent="0.2">
      <c r="A17" s="1258" t="s">
        <v>2057</v>
      </c>
      <c r="B17" s="1259" t="s">
        <v>1236</v>
      </c>
      <c r="C17" s="1259"/>
      <c r="D17" s="1261">
        <f>-SUM('Revenues 9-14'!C264:D264,'Revenues 9-14'!F264:G264)</f>
        <v>0</v>
      </c>
    </row>
    <row r="19" spans="1:4" ht="13.5" thickBot="1" x14ac:dyDescent="0.25">
      <c r="A19" s="1262" t="s">
        <v>1235</v>
      </c>
      <c r="D19" s="1263">
        <f>SUM(D10:D17)</f>
        <v>925569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925569</v>
      </c>
    </row>
    <row r="33" spans="1:4" x14ac:dyDescent="0.2">
      <c r="D33" s="1266"/>
    </row>
    <row r="34" spans="1:4" x14ac:dyDescent="0.2">
      <c r="A34" s="317" t="s">
        <v>1232</v>
      </c>
    </row>
    <row r="35" spans="1:4" x14ac:dyDescent="0.2">
      <c r="A35" s="317" t="s">
        <v>1231</v>
      </c>
      <c r="B35" s="1255" t="s">
        <v>1230</v>
      </c>
      <c r="D35" s="1267">
        <v>925569</v>
      </c>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925569</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7" zoomScaleNormal="100" workbookViewId="0">
      <selection activeCell="F24" sqref="F2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Mt Zion CUSD 3</v>
      </c>
      <c r="C1" s="2432"/>
      <c r="D1" s="2432"/>
      <c r="E1" s="2432"/>
      <c r="F1" s="2432"/>
      <c r="G1" s="2432"/>
      <c r="H1" s="2432"/>
      <c r="I1" s="2432"/>
      <c r="J1" s="2432"/>
      <c r="K1" s="2432"/>
      <c r="L1" s="2432"/>
      <c r="M1" s="2432"/>
    </row>
    <row r="2" spans="2:14" ht="15" x14ac:dyDescent="0.2">
      <c r="B2" s="2433">
        <f>'Single Audit Cover'!E7</f>
        <v>39055003026</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1986</v>
      </c>
      <c r="K8" s="1316" t="s">
        <v>1261</v>
      </c>
      <c r="L8" s="1317" t="s">
        <v>1257</v>
      </c>
      <c r="M8" s="1318" t="s">
        <v>30</v>
      </c>
    </row>
    <row r="9" spans="2:14" ht="14.25" x14ac:dyDescent="0.2">
      <c r="B9" s="1322" t="s">
        <v>1259</v>
      </c>
      <c r="C9" s="1310" t="s">
        <v>1732</v>
      </c>
      <c r="D9" s="1311" t="s">
        <v>1733</v>
      </c>
      <c r="E9" s="1319" t="s">
        <v>1836</v>
      </c>
      <c r="F9" s="1320" t="s">
        <v>1986</v>
      </c>
      <c r="G9" s="1321" t="s">
        <v>1836</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2082</v>
      </c>
      <c r="C11" s="1335"/>
      <c r="D11" s="1336"/>
      <c r="E11" s="1337"/>
      <c r="F11" s="1337"/>
      <c r="G11" s="1337"/>
      <c r="H11" s="1337"/>
      <c r="I11" s="1337"/>
      <c r="J11" s="1337"/>
      <c r="K11" s="1337"/>
      <c r="L11" s="1337">
        <f>+G11+I11+K11</f>
        <v>0</v>
      </c>
      <c r="M11" s="1337"/>
    </row>
    <row r="12" spans="2:14" ht="20.100000000000001" customHeight="1" x14ac:dyDescent="0.2">
      <c r="B12" s="1334" t="s">
        <v>2083</v>
      </c>
      <c r="C12" s="1338"/>
      <c r="D12" s="1339"/>
      <c r="E12" s="1340"/>
      <c r="F12" s="1340"/>
      <c r="G12" s="1340"/>
      <c r="H12" s="1340"/>
      <c r="I12" s="1340"/>
      <c r="J12" s="1340"/>
      <c r="K12" s="1340"/>
      <c r="L12" s="1337">
        <f t="shared" ref="L12:L27" si="0">+G12+I12+K12</f>
        <v>0</v>
      </c>
      <c r="M12" s="1340"/>
    </row>
    <row r="13" spans="2:14" ht="20.100000000000001" customHeight="1" x14ac:dyDescent="0.2">
      <c r="B13" s="1334" t="s">
        <v>2084</v>
      </c>
      <c r="C13" s="1338">
        <v>10.555</v>
      </c>
      <c r="D13" s="1339"/>
      <c r="E13" s="1340"/>
      <c r="F13" s="1340">
        <v>34716</v>
      </c>
      <c r="G13" s="1340"/>
      <c r="H13" s="1340"/>
      <c r="I13" s="1340">
        <v>34716</v>
      </c>
      <c r="J13" s="1340"/>
      <c r="K13" s="1340"/>
      <c r="L13" s="1337">
        <f t="shared" si="0"/>
        <v>34716</v>
      </c>
      <c r="M13" s="1340" t="s">
        <v>2095</v>
      </c>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2085</v>
      </c>
      <c r="C15" s="1338">
        <v>10.555</v>
      </c>
      <c r="D15" s="1339" t="s">
        <v>2091</v>
      </c>
      <c r="E15" s="1340">
        <v>179712</v>
      </c>
      <c r="F15" s="1340">
        <v>40330</v>
      </c>
      <c r="G15" s="1340">
        <v>179712</v>
      </c>
      <c r="H15" s="1340"/>
      <c r="I15" s="1340">
        <v>40330</v>
      </c>
      <c r="J15" s="1340"/>
      <c r="K15" s="1340"/>
      <c r="L15" s="1337">
        <f t="shared" si="0"/>
        <v>220042</v>
      </c>
      <c r="M15" s="1340" t="s">
        <v>2095</v>
      </c>
    </row>
    <row r="16" spans="2:14" ht="20.100000000000001" customHeight="1" x14ac:dyDescent="0.2">
      <c r="B16" s="1334"/>
      <c r="C16" s="1338"/>
      <c r="D16" s="1339" t="s">
        <v>2092</v>
      </c>
      <c r="E16" s="1340"/>
      <c r="F16" s="1340">
        <v>185313</v>
      </c>
      <c r="G16" s="1340"/>
      <c r="H16" s="1340"/>
      <c r="I16" s="1340">
        <v>185314</v>
      </c>
      <c r="J16" s="1340"/>
      <c r="K16" s="1340"/>
      <c r="L16" s="1337">
        <f t="shared" si="0"/>
        <v>185314</v>
      </c>
      <c r="M16" s="1340" t="s">
        <v>2095</v>
      </c>
    </row>
    <row r="17" spans="2:14" ht="20.100000000000001" customHeight="1" x14ac:dyDescent="0.2">
      <c r="B17" s="1334" t="s">
        <v>2086</v>
      </c>
      <c r="C17" s="1338"/>
      <c r="D17" s="1339"/>
      <c r="E17" s="1340">
        <f>E15</f>
        <v>179712</v>
      </c>
      <c r="F17" s="1340">
        <f>F13+F15+F16</f>
        <v>260359</v>
      </c>
      <c r="G17" s="1340">
        <f>G15</f>
        <v>179712</v>
      </c>
      <c r="H17" s="1340"/>
      <c r="I17" s="1340">
        <f>I13+I15+I16</f>
        <v>260360</v>
      </c>
      <c r="J17" s="1340"/>
      <c r="K17" s="1340"/>
      <c r="L17" s="1337">
        <f t="shared" si="0"/>
        <v>440072</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2087</v>
      </c>
      <c r="C19" s="1338">
        <v>10.553000000000001</v>
      </c>
      <c r="D19" s="1339" t="s">
        <v>2093</v>
      </c>
      <c r="E19" s="1340">
        <v>14003</v>
      </c>
      <c r="F19" s="1340">
        <v>2468</v>
      </c>
      <c r="G19" s="1340">
        <v>14003</v>
      </c>
      <c r="H19" s="1340"/>
      <c r="I19" s="1340">
        <v>2468</v>
      </c>
      <c r="J19" s="1340"/>
      <c r="K19" s="1340"/>
      <c r="L19" s="1337">
        <f t="shared" si="0"/>
        <v>16471</v>
      </c>
      <c r="M19" s="1340" t="s">
        <v>2095</v>
      </c>
    </row>
    <row r="20" spans="2:14" ht="20.100000000000001" customHeight="1" x14ac:dyDescent="0.2">
      <c r="B20" s="1334"/>
      <c r="C20" s="1338"/>
      <c r="D20" s="1339" t="s">
        <v>2094</v>
      </c>
      <c r="E20" s="1340"/>
      <c r="F20" s="1340">
        <v>16727</v>
      </c>
      <c r="G20" s="1340"/>
      <c r="H20" s="1340"/>
      <c r="I20" s="1340">
        <v>16727</v>
      </c>
      <c r="J20" s="1340"/>
      <c r="K20" s="1340"/>
      <c r="L20" s="1337">
        <f t="shared" si="0"/>
        <v>16727</v>
      </c>
      <c r="M20" s="1340" t="s">
        <v>2095</v>
      </c>
    </row>
    <row r="21" spans="2:14" ht="20.100000000000001" customHeight="1" x14ac:dyDescent="0.2">
      <c r="B21" s="1334" t="s">
        <v>2088</v>
      </c>
      <c r="C21" s="1338"/>
      <c r="D21" s="1339"/>
      <c r="E21" s="1340">
        <f>E19</f>
        <v>14003</v>
      </c>
      <c r="F21" s="1340">
        <f>F19+F20</f>
        <v>19195</v>
      </c>
      <c r="G21" s="1340">
        <f>G19</f>
        <v>14003</v>
      </c>
      <c r="H21" s="1340"/>
      <c r="I21" s="1340">
        <f>I19+I20</f>
        <v>19195</v>
      </c>
      <c r="J21" s="1340"/>
      <c r="K21" s="1340"/>
      <c r="L21" s="1337">
        <f t="shared" si="0"/>
        <v>33198</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t="s">
        <v>2089</v>
      </c>
      <c r="C23" s="1338"/>
      <c r="D23" s="1339"/>
      <c r="E23" s="1340">
        <f>E13+E15+E16+E19+E20</f>
        <v>193715</v>
      </c>
      <c r="F23" s="1340">
        <f>F13+F15+F16+F19+F20</f>
        <v>279554</v>
      </c>
      <c r="G23" s="1340">
        <f>G13+G15+G16+G19+G20</f>
        <v>193715</v>
      </c>
      <c r="H23" s="1340"/>
      <c r="I23" s="1340">
        <f>I13+I15+I16+I19+I20</f>
        <v>279555</v>
      </c>
      <c r="J23" s="1340"/>
      <c r="K23" s="1340"/>
      <c r="L23" s="1337">
        <f t="shared" si="0"/>
        <v>473270</v>
      </c>
      <c r="M23" s="1340"/>
    </row>
    <row r="24" spans="2:14" ht="20.100000000000001" customHeight="1" x14ac:dyDescent="0.2">
      <c r="B24" s="1334" t="s">
        <v>2090</v>
      </c>
      <c r="C24" s="1338"/>
      <c r="D24" s="1339"/>
      <c r="E24" s="1340">
        <f>E13+E15+E16+E19+E20</f>
        <v>193715</v>
      </c>
      <c r="F24" s="1340">
        <f>F13+F15+F16+F19+F20</f>
        <v>279554</v>
      </c>
      <c r="G24" s="1340">
        <f>G13+G15+G16+G19+G20</f>
        <v>193715</v>
      </c>
      <c r="H24" s="1340"/>
      <c r="I24" s="1340">
        <f>I13+I15+I16+I19+I20</f>
        <v>279555</v>
      </c>
      <c r="J24" s="1340"/>
      <c r="K24" s="1340"/>
      <c r="L24" s="1337">
        <f t="shared" si="0"/>
        <v>473270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5"/>
  <sheetViews>
    <sheetView showGridLines="0" topLeftCell="A10" zoomScaleNormal="100" workbookViewId="0">
      <selection activeCell="F28" sqref="F2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Mt Zion CUSD 3</v>
      </c>
      <c r="C1" s="2432"/>
      <c r="D1" s="2432"/>
      <c r="E1" s="2432"/>
      <c r="F1" s="2432"/>
      <c r="G1" s="2432"/>
      <c r="H1" s="2432"/>
      <c r="I1" s="2432"/>
      <c r="J1" s="2432"/>
      <c r="K1" s="2432"/>
      <c r="L1" s="2432"/>
      <c r="M1" s="2432"/>
    </row>
    <row r="2" spans="2:14" ht="15" x14ac:dyDescent="0.2">
      <c r="B2" s="2433">
        <f>'Single Audit Cover'!E7</f>
        <v>39055003026</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1986</v>
      </c>
      <c r="K8" s="1316" t="s">
        <v>1261</v>
      </c>
      <c r="L8" s="1317" t="s">
        <v>1257</v>
      </c>
      <c r="M8" s="1318" t="s">
        <v>30</v>
      </c>
    </row>
    <row r="9" spans="2:14" ht="14.25" x14ac:dyDescent="0.2">
      <c r="B9" s="1322" t="s">
        <v>1259</v>
      </c>
      <c r="C9" s="1310" t="s">
        <v>1732</v>
      </c>
      <c r="D9" s="1311" t="s">
        <v>1733</v>
      </c>
      <c r="E9" s="1319" t="s">
        <v>1836</v>
      </c>
      <c r="F9" s="1320" t="s">
        <v>1986</v>
      </c>
      <c r="G9" s="1321" t="s">
        <v>1836</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2096</v>
      </c>
      <c r="C11" s="1335"/>
      <c r="D11" s="1336"/>
      <c r="E11" s="1337"/>
      <c r="F11" s="1337"/>
      <c r="G11" s="1337"/>
      <c r="H11" s="1337"/>
      <c r="I11" s="1337"/>
      <c r="J11" s="1337"/>
      <c r="K11" s="1337"/>
      <c r="L11" s="1337">
        <f>+G11+I11+K11</f>
        <v>0</v>
      </c>
      <c r="M11" s="1337"/>
    </row>
    <row r="12" spans="2:14" ht="20.100000000000001" customHeight="1" x14ac:dyDescent="0.2">
      <c r="B12" s="1334" t="s">
        <v>2083</v>
      </c>
      <c r="C12" s="1338"/>
      <c r="D12" s="1339"/>
      <c r="E12" s="1340"/>
      <c r="F12" s="1340"/>
      <c r="G12" s="1340"/>
      <c r="H12" s="1340"/>
      <c r="I12" s="1340"/>
      <c r="J12" s="1340"/>
      <c r="K12" s="1340"/>
      <c r="L12" s="1337">
        <f t="shared" ref="L12:L30" si="0">+G12+I12+K12</f>
        <v>0</v>
      </c>
      <c r="M12" s="1340"/>
    </row>
    <row r="13" spans="2:14" ht="20.100000000000001" customHeight="1" x14ac:dyDescent="0.2">
      <c r="B13" s="1334" t="s">
        <v>2097</v>
      </c>
      <c r="C13" s="1338" t="s">
        <v>2110</v>
      </c>
      <c r="D13" s="1339" t="s">
        <v>2117</v>
      </c>
      <c r="E13" s="1340">
        <v>172814</v>
      </c>
      <c r="F13" s="1340">
        <v>27826</v>
      </c>
      <c r="G13" s="1340">
        <v>200640</v>
      </c>
      <c r="H13" s="1340"/>
      <c r="I13" s="1340"/>
      <c r="J13" s="1340"/>
      <c r="K13" s="1340"/>
      <c r="L13" s="1337">
        <f t="shared" si="0"/>
        <v>200640</v>
      </c>
      <c r="M13" s="1340">
        <v>200640</v>
      </c>
    </row>
    <row r="14" spans="2:14" ht="20.100000000000001" customHeight="1" x14ac:dyDescent="0.2">
      <c r="B14" s="1334"/>
      <c r="C14" s="1338"/>
      <c r="D14" s="1339" t="s">
        <v>2118</v>
      </c>
      <c r="E14" s="1340"/>
      <c r="F14" s="1340">
        <v>132124</v>
      </c>
      <c r="G14" s="1340"/>
      <c r="H14" s="1340"/>
      <c r="I14" s="1340">
        <v>234065</v>
      </c>
      <c r="J14" s="1340"/>
      <c r="K14" s="1340"/>
      <c r="L14" s="1337">
        <f t="shared" si="0"/>
        <v>234065</v>
      </c>
      <c r="M14" s="1340">
        <v>234065</v>
      </c>
    </row>
    <row r="15" spans="2:14" ht="20.100000000000001" customHeight="1" x14ac:dyDescent="0.2">
      <c r="B15" s="1334" t="s">
        <v>2098</v>
      </c>
      <c r="C15" s="1338"/>
      <c r="D15" s="1339"/>
      <c r="E15" s="1340">
        <f>E13+E14</f>
        <v>172814</v>
      </c>
      <c r="F15" s="1340">
        <f>F13+F14</f>
        <v>159950</v>
      </c>
      <c r="G15" s="1340">
        <f>G13+G14</f>
        <v>200640</v>
      </c>
      <c r="H15" s="1340"/>
      <c r="I15" s="1340">
        <f>I13+I14</f>
        <v>234065</v>
      </c>
      <c r="J15" s="1340"/>
      <c r="K15" s="1340"/>
      <c r="L15" s="1337">
        <f t="shared" si="0"/>
        <v>434705</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2099</v>
      </c>
      <c r="C17" s="1338" t="s">
        <v>2111</v>
      </c>
      <c r="D17" s="1339" t="s">
        <v>2119</v>
      </c>
      <c r="E17" s="1340">
        <v>52166</v>
      </c>
      <c r="F17" s="1340"/>
      <c r="G17" s="1340">
        <v>52166</v>
      </c>
      <c r="H17" s="1340"/>
      <c r="I17" s="1340"/>
      <c r="J17" s="1340"/>
      <c r="K17" s="1340"/>
      <c r="L17" s="1337">
        <f t="shared" si="0"/>
        <v>52166</v>
      </c>
      <c r="M17" s="1340">
        <v>52166</v>
      </c>
    </row>
    <row r="18" spans="2:14" ht="20.100000000000001" customHeight="1" x14ac:dyDescent="0.2">
      <c r="B18" s="1334"/>
      <c r="C18" s="1338"/>
      <c r="D18" s="1339" t="s">
        <v>2120</v>
      </c>
      <c r="E18" s="1340"/>
      <c r="F18" s="1340">
        <v>52895</v>
      </c>
      <c r="G18" s="1340"/>
      <c r="H18" s="1340"/>
      <c r="I18" s="1340">
        <v>52895</v>
      </c>
      <c r="J18" s="1340"/>
      <c r="K18" s="1340"/>
      <c r="L18" s="1337">
        <f t="shared" si="0"/>
        <v>52895</v>
      </c>
      <c r="M18" s="1340">
        <v>52895</v>
      </c>
    </row>
    <row r="19" spans="2:14" ht="20.100000000000001" customHeight="1" x14ac:dyDescent="0.2">
      <c r="B19" s="1334" t="s">
        <v>2100</v>
      </c>
      <c r="C19" s="1338"/>
      <c r="D19" s="1339"/>
      <c r="E19" s="1340">
        <f>E17+E18</f>
        <v>52166</v>
      </c>
      <c r="F19" s="1340">
        <f>F17+F18</f>
        <v>52895</v>
      </c>
      <c r="G19" s="1340">
        <f>G17+G18</f>
        <v>52166</v>
      </c>
      <c r="H19" s="1340"/>
      <c r="I19" s="1340">
        <f>I17+I18</f>
        <v>52895</v>
      </c>
      <c r="J19" s="1340"/>
      <c r="K19" s="1340"/>
      <c r="L19" s="1337">
        <f t="shared" si="0"/>
        <v>105061</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2101</v>
      </c>
      <c r="C21" s="1338" t="s">
        <v>2112</v>
      </c>
      <c r="D21" s="1339" t="s">
        <v>2121</v>
      </c>
      <c r="E21" s="1340">
        <v>10000</v>
      </c>
      <c r="F21" s="1340"/>
      <c r="G21" s="1340">
        <v>10000</v>
      </c>
      <c r="H21" s="1340"/>
      <c r="I21" s="1340"/>
      <c r="J21" s="1340"/>
      <c r="K21" s="1340"/>
      <c r="L21" s="1337">
        <f t="shared" si="0"/>
        <v>10000</v>
      </c>
      <c r="M21" s="1340">
        <v>10000</v>
      </c>
    </row>
    <row r="22" spans="2:14" ht="20.100000000000001" customHeight="1" x14ac:dyDescent="0.2">
      <c r="B22" s="1334"/>
      <c r="C22" s="1338"/>
      <c r="D22" s="1339" t="s">
        <v>2125</v>
      </c>
      <c r="E22" s="1340"/>
      <c r="F22" s="1340">
        <v>23878</v>
      </c>
      <c r="G22" s="1340"/>
      <c r="H22" s="1340"/>
      <c r="I22" s="1340">
        <v>23878</v>
      </c>
      <c r="J22" s="1340"/>
      <c r="K22" s="1340"/>
      <c r="L22" s="1337">
        <f t="shared" si="0"/>
        <v>23878</v>
      </c>
      <c r="M22" s="1340">
        <v>23878</v>
      </c>
    </row>
    <row r="23" spans="2:14" ht="20.100000000000001" customHeight="1" x14ac:dyDescent="0.2">
      <c r="B23" s="1334" t="s">
        <v>2102</v>
      </c>
      <c r="C23" s="1338"/>
      <c r="D23" s="1339"/>
      <c r="E23" s="1340">
        <f>E21+E22</f>
        <v>10000</v>
      </c>
      <c r="F23" s="1340">
        <f>F22</f>
        <v>23878</v>
      </c>
      <c r="G23" s="1340">
        <f>G21</f>
        <v>10000</v>
      </c>
      <c r="H23" s="1340"/>
      <c r="I23" s="1340">
        <f>I22</f>
        <v>23878</v>
      </c>
      <c r="J23" s="1340"/>
      <c r="K23" s="1340"/>
      <c r="L23" s="1337">
        <f t="shared" si="0"/>
        <v>33878</v>
      </c>
      <c r="M23" s="1340"/>
    </row>
    <row r="24" spans="2:14" ht="20.100000000000001" customHeight="1" x14ac:dyDescent="0.2">
      <c r="B24" s="1334"/>
      <c r="C24" s="1338"/>
      <c r="D24" s="1339"/>
      <c r="E24" s="1340"/>
      <c r="F24" s="1340"/>
      <c r="G24" s="1340"/>
      <c r="H24" s="1340"/>
      <c r="I24" s="1340"/>
      <c r="J24" s="1340"/>
      <c r="K24" s="1340"/>
      <c r="L24" s="1337">
        <f>G24+I24+K24</f>
        <v>0</v>
      </c>
      <c r="M24" s="1340"/>
    </row>
    <row r="25" spans="2:14" ht="20.100000000000001" customHeight="1" x14ac:dyDescent="0.2">
      <c r="B25" s="1334" t="s">
        <v>2103</v>
      </c>
      <c r="C25" s="1338"/>
      <c r="D25" s="1339"/>
      <c r="E25" s="1340"/>
      <c r="F25" s="1340"/>
      <c r="G25" s="1340"/>
      <c r="H25" s="1340"/>
      <c r="I25" s="1340"/>
      <c r="J25" s="1340"/>
      <c r="K25" s="1340"/>
      <c r="L25" s="1337">
        <f>G25+I25+K25</f>
        <v>0</v>
      </c>
      <c r="M25" s="1340"/>
    </row>
    <row r="26" spans="2:14" ht="20.100000000000001" customHeight="1" x14ac:dyDescent="0.2">
      <c r="B26" s="1334" t="s">
        <v>2104</v>
      </c>
      <c r="C26" s="1338" t="s">
        <v>2113</v>
      </c>
      <c r="D26" s="1339" t="s">
        <v>2122</v>
      </c>
      <c r="E26" s="1340">
        <v>431246</v>
      </c>
      <c r="F26" s="1340"/>
      <c r="G26" s="1340">
        <v>431246</v>
      </c>
      <c r="H26" s="1340"/>
      <c r="I26" s="1340"/>
      <c r="J26" s="1340"/>
      <c r="K26" s="1340"/>
      <c r="L26" s="1337">
        <f t="shared" si="0"/>
        <v>431246</v>
      </c>
      <c r="M26" s="1340">
        <v>431246</v>
      </c>
    </row>
    <row r="27" spans="2:14" ht="20.100000000000001" customHeight="1" x14ac:dyDescent="0.2">
      <c r="B27" s="1334"/>
      <c r="C27" s="1338"/>
      <c r="D27" s="1339" t="s">
        <v>2124</v>
      </c>
      <c r="E27" s="1340"/>
      <c r="F27" s="1937">
        <v>395029</v>
      </c>
      <c r="G27" s="1340"/>
      <c r="H27" s="1340"/>
      <c r="I27" s="1937">
        <v>415884</v>
      </c>
      <c r="J27" s="1340"/>
      <c r="K27" s="1340"/>
      <c r="L27" s="1337">
        <f>G27+I27+K27</f>
        <v>415884</v>
      </c>
      <c r="M27" s="1340">
        <v>415884</v>
      </c>
    </row>
    <row r="28" spans="2:14" ht="20.100000000000001" customHeight="1" x14ac:dyDescent="0.2">
      <c r="B28" s="1334" t="s">
        <v>2123</v>
      </c>
      <c r="C28" s="1338"/>
      <c r="D28" s="1339"/>
      <c r="E28" s="1340">
        <f>E26+E27</f>
        <v>431246</v>
      </c>
      <c r="F28" s="1340">
        <f>F26+F27</f>
        <v>395029</v>
      </c>
      <c r="G28" s="1340">
        <f>G26+G27</f>
        <v>431246</v>
      </c>
      <c r="H28" s="1340"/>
      <c r="I28" s="1340">
        <f>I26+I27</f>
        <v>415884</v>
      </c>
      <c r="J28" s="1340"/>
      <c r="K28" s="1340"/>
      <c r="L28" s="1337">
        <f>G28+I28+K28</f>
        <v>847130</v>
      </c>
      <c r="M28" s="1340"/>
    </row>
    <row r="29" spans="2:14" ht="20.100000000000001" customHeight="1" x14ac:dyDescent="0.2">
      <c r="B29" s="1334"/>
      <c r="C29" s="1338"/>
      <c r="D29" s="1339"/>
      <c r="E29" s="1340"/>
      <c r="F29" s="1340"/>
      <c r="G29" s="1340"/>
      <c r="H29" s="1340"/>
      <c r="I29" s="1340"/>
      <c r="J29" s="1340"/>
      <c r="K29" s="1340"/>
      <c r="L29" s="1337">
        <f t="shared" si="0"/>
        <v>0</v>
      </c>
      <c r="M29" s="1340"/>
    </row>
    <row r="30" spans="2:14" ht="20.100000000000001" customHeight="1" x14ac:dyDescent="0.2">
      <c r="B30" s="1334" t="s">
        <v>2105</v>
      </c>
      <c r="C30" s="1338"/>
      <c r="D30" s="1339"/>
      <c r="E30" s="1340">
        <f>E28+E23+E19+E15</f>
        <v>666226</v>
      </c>
      <c r="F30" s="1340">
        <f>F28+F23+F19+F15</f>
        <v>631752</v>
      </c>
      <c r="G30" s="1340">
        <f>G28+G23+G19+G15</f>
        <v>694052</v>
      </c>
      <c r="H30" s="1340"/>
      <c r="I30" s="1340">
        <f>I28+I23+I19+I15</f>
        <v>726722</v>
      </c>
      <c r="J30" s="1340"/>
      <c r="K30" s="1340"/>
      <c r="L30" s="1337">
        <f t="shared" si="0"/>
        <v>1420774</v>
      </c>
      <c r="M30" s="1340"/>
      <c r="N30" s="1341"/>
    </row>
    <row r="31" spans="2:14" ht="12.75" customHeight="1" x14ac:dyDescent="0.2">
      <c r="B31" s="1342"/>
      <c r="C31" s="1343"/>
      <c r="D31" s="1344"/>
      <c r="E31" s="1345"/>
      <c r="F31" s="1345"/>
      <c r="G31" s="1345"/>
      <c r="H31" s="1345"/>
      <c r="I31" s="1345"/>
      <c r="J31" s="1345"/>
      <c r="K31" s="1345"/>
      <c r="L31" s="1345"/>
      <c r="M31" s="1345"/>
      <c r="N31" s="1341"/>
    </row>
    <row r="32" spans="2:14" x14ac:dyDescent="0.2">
      <c r="B32" s="1254"/>
      <c r="C32" s="1346"/>
      <c r="D32" s="1347"/>
      <c r="E32" s="1254"/>
      <c r="F32" s="1254"/>
      <c r="G32" s="1247"/>
      <c r="H32" s="1247"/>
      <c r="I32" s="1247"/>
      <c r="J32" s="1247"/>
      <c r="K32" s="1247"/>
      <c r="L32" s="1247"/>
      <c r="M32" s="1254"/>
      <c r="N32" s="1341"/>
    </row>
    <row r="33" spans="2:14" ht="13.5" customHeight="1" x14ac:dyDescent="0.2">
      <c r="B33" s="1279" t="s">
        <v>1734</v>
      </c>
      <c r="C33" s="1346"/>
      <c r="D33" s="1347"/>
      <c r="E33" s="1254"/>
      <c r="F33" s="1254"/>
      <c r="G33" s="1247"/>
      <c r="H33" s="1247"/>
      <c r="I33" s="1247"/>
      <c r="J33" s="1247"/>
      <c r="K33" s="1247"/>
      <c r="L33" s="1247"/>
      <c r="M33" s="1254"/>
      <c r="N33" s="1341"/>
    </row>
    <row r="34" spans="2:14" ht="8.25" customHeight="1" x14ac:dyDescent="0.2">
      <c r="B34" s="1279"/>
      <c r="C34" s="1346"/>
      <c r="D34" s="1347"/>
      <c r="E34" s="1254"/>
      <c r="F34" s="1254"/>
      <c r="G34" s="1247"/>
      <c r="H34" s="1247"/>
      <c r="I34" s="1247"/>
      <c r="J34" s="1247"/>
      <c r="K34" s="1247"/>
      <c r="L34" s="1247"/>
      <c r="M34" s="1254"/>
      <c r="N34" s="1341"/>
    </row>
    <row r="35" spans="2:14" x14ac:dyDescent="0.2">
      <c r="B35" s="1348" t="s">
        <v>1837</v>
      </c>
      <c r="C35" s="1349"/>
      <c r="D35" s="1350"/>
      <c r="E35" s="1351"/>
      <c r="F35" s="1351"/>
      <c r="G35" s="1351"/>
      <c r="H35" s="1351"/>
      <c r="I35" s="317"/>
      <c r="J35" s="317"/>
    </row>
    <row r="36" spans="2:14" x14ac:dyDescent="0.2">
      <c r="B36" s="1274"/>
      <c r="C36" s="1352"/>
      <c r="D36" s="1353"/>
      <c r="E36" s="1275"/>
      <c r="F36" s="1275"/>
      <c r="G36" s="317"/>
      <c r="H36" s="317"/>
      <c r="I36" s="317"/>
      <c r="J36" s="317"/>
    </row>
    <row r="37" spans="2:14" ht="13.5" customHeight="1" x14ac:dyDescent="0.2">
      <c r="B37" s="1273" t="s">
        <v>1246</v>
      </c>
      <c r="G37" s="317"/>
      <c r="H37" s="317"/>
      <c r="I37" s="317"/>
      <c r="J37" s="317"/>
    </row>
    <row r="38" spans="2:14" ht="13.5" customHeight="1" x14ac:dyDescent="0.2">
      <c r="B38" s="1356"/>
      <c r="C38" s="1357"/>
      <c r="D38" s="1358"/>
      <c r="E38" s="1294"/>
      <c r="F38" s="1294"/>
      <c r="G38" s="1294"/>
      <c r="H38" s="1294"/>
      <c r="I38" s="1294"/>
      <c r="J38" s="1294"/>
      <c r="K38" s="1359"/>
      <c r="L38" s="1359"/>
      <c r="M38" s="1294"/>
    </row>
    <row r="39" spans="2:14" ht="9.6" customHeight="1" x14ac:dyDescent="0.2">
      <c r="B39" s="1360"/>
      <c r="G39" s="317"/>
      <c r="H39" s="317"/>
      <c r="I39" s="317"/>
      <c r="J39" s="317"/>
    </row>
    <row r="40" spans="2:14" ht="11.25" customHeight="1" x14ac:dyDescent="0.2">
      <c r="B40" s="1361" t="s">
        <v>1735</v>
      </c>
      <c r="C40" s="1362"/>
      <c r="D40" s="1362"/>
      <c r="E40" s="1362"/>
      <c r="F40" s="1362"/>
      <c r="G40" s="1362"/>
      <c r="H40" s="1362"/>
      <c r="I40" s="1363"/>
      <c r="J40" s="1363"/>
      <c r="K40" s="1363"/>
      <c r="L40" s="1363"/>
      <c r="M40" s="1363"/>
    </row>
    <row r="41" spans="2:14" ht="11.25" customHeight="1" x14ac:dyDescent="0.2">
      <c r="B41" s="1364" t="s">
        <v>1584</v>
      </c>
      <c r="C41" s="1363"/>
      <c r="D41" s="1363"/>
      <c r="E41" s="1363"/>
      <c r="F41" s="1363"/>
      <c r="G41" s="1363"/>
      <c r="H41" s="1363"/>
      <c r="I41" s="1363"/>
      <c r="J41" s="1363"/>
      <c r="K41" s="1363"/>
      <c r="L41" s="1363"/>
      <c r="M41" s="1363"/>
    </row>
    <row r="42" spans="2:14" ht="3.95" customHeight="1" x14ac:dyDescent="0.2">
      <c r="B42" s="1364"/>
      <c r="C42" s="1363"/>
      <c r="D42" s="1363"/>
      <c r="E42" s="1363"/>
      <c r="F42" s="1363"/>
      <c r="G42" s="1363"/>
      <c r="H42" s="1363"/>
      <c r="I42" s="1363"/>
      <c r="J42" s="1363"/>
      <c r="K42" s="1363"/>
      <c r="L42" s="1363"/>
      <c r="M42" s="1363"/>
    </row>
    <row r="43" spans="2:14" ht="11.25" customHeight="1" x14ac:dyDescent="0.2">
      <c r="B43" s="1361" t="s">
        <v>1736</v>
      </c>
      <c r="C43" s="1363"/>
      <c r="D43" s="1363"/>
      <c r="E43" s="1363"/>
      <c r="F43" s="1363"/>
      <c r="G43" s="1363"/>
      <c r="H43" s="1363"/>
      <c r="I43" s="1363"/>
      <c r="J43" s="1363"/>
      <c r="K43" s="1363"/>
      <c r="L43" s="1363"/>
      <c r="M43" s="1363"/>
    </row>
    <row r="44" spans="2:14" ht="11.25" customHeight="1" x14ac:dyDescent="0.2">
      <c r="B44" s="1297" t="s">
        <v>1585</v>
      </c>
      <c r="C44" s="1365"/>
      <c r="D44" s="1366"/>
      <c r="E44" s="1297"/>
      <c r="F44" s="1297"/>
      <c r="G44" s="1297"/>
      <c r="H44" s="1297"/>
      <c r="I44" s="1297"/>
      <c r="J44" s="1297"/>
      <c r="K44" s="1367"/>
      <c r="L44" s="1367"/>
      <c r="M44" s="1297"/>
    </row>
    <row r="45" spans="2:14" ht="3.95" customHeight="1" x14ac:dyDescent="0.2">
      <c r="B45" s="1297"/>
      <c r="C45" s="1365"/>
      <c r="D45" s="1366"/>
      <c r="E45" s="1297"/>
      <c r="F45" s="1297"/>
      <c r="G45" s="1297"/>
      <c r="H45" s="1297"/>
      <c r="I45" s="1297"/>
      <c r="J45" s="1297"/>
      <c r="K45" s="1367"/>
      <c r="L45" s="1367"/>
      <c r="M45" s="1297"/>
    </row>
    <row r="46" spans="2:14" ht="11.25" customHeight="1" x14ac:dyDescent="0.2">
      <c r="B46" s="1368" t="s">
        <v>1737</v>
      </c>
      <c r="C46" s="1365"/>
      <c r="D46" s="1366"/>
      <c r="E46" s="1297"/>
      <c r="F46" s="1297"/>
      <c r="G46" s="1297"/>
      <c r="H46" s="1297"/>
      <c r="I46" s="1297"/>
      <c r="J46" s="1297"/>
      <c r="K46" s="1367"/>
      <c r="L46" s="1367"/>
      <c r="M46" s="1297"/>
    </row>
    <row r="47" spans="2:14" ht="3.95" customHeight="1" x14ac:dyDescent="0.2">
      <c r="B47" s="1368"/>
      <c r="C47" s="1365"/>
      <c r="D47" s="1366"/>
      <c r="E47" s="1297"/>
      <c r="F47" s="1297"/>
      <c r="G47" s="1297"/>
      <c r="H47" s="1297"/>
      <c r="I47" s="1297"/>
      <c r="J47" s="1297"/>
      <c r="K47" s="1367"/>
      <c r="L47" s="1367"/>
      <c r="M47" s="1297"/>
    </row>
    <row r="48" spans="2:14" ht="11.25" customHeight="1" x14ac:dyDescent="0.2">
      <c r="B48" s="1369" t="s">
        <v>1738</v>
      </c>
      <c r="C48" s="1365"/>
      <c r="D48" s="1366"/>
      <c r="E48" s="1297"/>
      <c r="F48" s="1297"/>
      <c r="G48" s="1297"/>
      <c r="H48" s="1297"/>
      <c r="I48" s="1297"/>
      <c r="J48" s="1297"/>
      <c r="K48" s="1367"/>
      <c r="L48" s="1367"/>
      <c r="M48" s="1297"/>
    </row>
    <row r="49" spans="2:13" ht="11.25" customHeight="1" x14ac:dyDescent="0.2">
      <c r="B49" s="1297" t="s">
        <v>1586</v>
      </c>
      <c r="G49" s="317"/>
      <c r="H49" s="317"/>
      <c r="I49" s="317"/>
      <c r="J49" s="317"/>
    </row>
    <row r="50" spans="2:13" ht="11.1" customHeight="1" x14ac:dyDescent="0.2">
      <c r="B50" s="1297"/>
      <c r="G50" s="317"/>
      <c r="H50" s="317"/>
      <c r="I50" s="317"/>
      <c r="J50" s="317"/>
    </row>
    <row r="51" spans="2:13" ht="11.1" customHeight="1" x14ac:dyDescent="0.2">
      <c r="B51" s="1297"/>
      <c r="G51" s="317"/>
      <c r="H51" s="317"/>
      <c r="I51" s="317"/>
      <c r="J51" s="317"/>
    </row>
    <row r="52" spans="2:13" ht="13.5" customHeight="1" x14ac:dyDescent="0.2">
      <c r="M52" s="1370"/>
    </row>
    <row r="53" spans="2:13" ht="13.5" customHeight="1" x14ac:dyDescent="0.2">
      <c r="M53" s="1370"/>
    </row>
    <row r="54" spans="2:13" ht="13.5" customHeight="1" x14ac:dyDescent="0.2">
      <c r="M54" s="1370"/>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7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49"/>
  <sheetViews>
    <sheetView showGridLines="0" topLeftCell="C4" zoomScaleNormal="100" workbookViewId="0">
      <selection activeCell="F15" activeCellId="1" sqref="I15 F1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Mt Zion CUSD 3</v>
      </c>
      <c r="C1" s="2432"/>
      <c r="D1" s="2432"/>
      <c r="E1" s="2432"/>
      <c r="F1" s="2432"/>
      <c r="G1" s="2432"/>
      <c r="H1" s="2432"/>
      <c r="I1" s="2432"/>
      <c r="J1" s="2432"/>
      <c r="K1" s="2432"/>
      <c r="L1" s="2432"/>
      <c r="M1" s="2432"/>
    </row>
    <row r="2" spans="2:14" ht="15" x14ac:dyDescent="0.2">
      <c r="B2" s="2433">
        <f>'Single Audit Cover'!E7</f>
        <v>39055003026</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1986</v>
      </c>
      <c r="K8" s="1316" t="s">
        <v>1261</v>
      </c>
      <c r="L8" s="1317" t="s">
        <v>1257</v>
      </c>
      <c r="M8" s="1318" t="s">
        <v>30</v>
      </c>
    </row>
    <row r="9" spans="2:14" ht="14.25" x14ac:dyDescent="0.2">
      <c r="B9" s="1322" t="s">
        <v>1259</v>
      </c>
      <c r="C9" s="1310" t="s">
        <v>1732</v>
      </c>
      <c r="D9" s="1311" t="s">
        <v>1733</v>
      </c>
      <c r="E9" s="1319" t="s">
        <v>1836</v>
      </c>
      <c r="F9" s="1320" t="s">
        <v>1986</v>
      </c>
      <c r="G9" s="1321" t="s">
        <v>1836</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2106</v>
      </c>
      <c r="C11" s="1335"/>
      <c r="D11" s="1336"/>
      <c r="E11" s="1337"/>
      <c r="F11" s="1337"/>
      <c r="G11" s="1337"/>
      <c r="H11" s="1337"/>
      <c r="I11" s="1337"/>
      <c r="J11" s="1337"/>
      <c r="K11" s="1337"/>
      <c r="L11" s="1337">
        <f>+G11+I11+K11</f>
        <v>0</v>
      </c>
      <c r="M11" s="1337"/>
    </row>
    <row r="12" spans="2:14" ht="20.100000000000001" customHeight="1" x14ac:dyDescent="0.2">
      <c r="B12" s="1334" t="s">
        <v>2107</v>
      </c>
      <c r="C12" s="1338"/>
      <c r="D12" s="1339"/>
      <c r="E12" s="1340"/>
      <c r="F12" s="1340"/>
      <c r="G12" s="1340"/>
      <c r="H12" s="1340"/>
      <c r="I12" s="1340"/>
      <c r="J12" s="1340"/>
      <c r="K12" s="1340"/>
      <c r="L12" s="1337">
        <f t="shared" ref="L12:L24"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2108</v>
      </c>
      <c r="C14" s="1338">
        <v>93.778000000000006</v>
      </c>
      <c r="D14" s="1339" t="s">
        <v>2114</v>
      </c>
      <c r="E14" s="1340">
        <v>8534</v>
      </c>
      <c r="F14" s="1340"/>
      <c r="G14" s="1340">
        <v>8534</v>
      </c>
      <c r="H14" s="1340"/>
      <c r="I14" s="1340"/>
      <c r="J14" s="1340"/>
      <c r="K14" s="1340"/>
      <c r="L14" s="1337">
        <f t="shared" si="0"/>
        <v>8534</v>
      </c>
      <c r="M14" s="1340">
        <v>8534</v>
      </c>
    </row>
    <row r="15" spans="2:14" ht="20.100000000000001" customHeight="1" x14ac:dyDescent="0.2">
      <c r="B15" s="1334"/>
      <c r="C15" s="1338"/>
      <c r="D15" s="1339" t="s">
        <v>2115</v>
      </c>
      <c r="E15" s="1340"/>
      <c r="F15" s="1937">
        <v>14263</v>
      </c>
      <c r="G15" s="1340"/>
      <c r="H15" s="1340"/>
      <c r="I15" s="1937">
        <v>14263</v>
      </c>
      <c r="J15" s="1340"/>
      <c r="K15" s="1340"/>
      <c r="L15" s="1337">
        <f t="shared" si="0"/>
        <v>14263</v>
      </c>
      <c r="M15" s="1340">
        <v>14263</v>
      </c>
    </row>
    <row r="16" spans="2:14" ht="20.100000000000001" customHeight="1" x14ac:dyDescent="0.2">
      <c r="B16" s="1334" t="s">
        <v>2116</v>
      </c>
      <c r="C16" s="1338"/>
      <c r="D16" s="1339"/>
      <c r="E16" s="1340">
        <f>E14+E15</f>
        <v>8534</v>
      </c>
      <c r="F16" s="1340">
        <f>F15</f>
        <v>14263</v>
      </c>
      <c r="G16" s="1340">
        <f>G14</f>
        <v>8534</v>
      </c>
      <c r="H16" s="1340"/>
      <c r="I16" s="1340">
        <f>I15</f>
        <v>14263</v>
      </c>
      <c r="J16" s="1340"/>
      <c r="K16" s="1340"/>
      <c r="L16" s="1337">
        <f t="shared" si="0"/>
        <v>22797</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2109</v>
      </c>
      <c r="C18" s="1338"/>
      <c r="D18" s="1339"/>
      <c r="E18" s="1340">
        <f>E16+' SEFA (2)'!E30+' SEFA'!E24</f>
        <v>868475</v>
      </c>
      <c r="F18" s="1340">
        <f>F16+' SEFA (2)'!F30+' SEFA'!F24</f>
        <v>925569</v>
      </c>
      <c r="G18" s="1340">
        <f>G16+' SEFA (2)'!G30+' SEFA'!G24</f>
        <v>896301</v>
      </c>
      <c r="H18" s="1340"/>
      <c r="I18" s="1340">
        <f>I16+' SEFA (2)'!I30+' SEFA'!I24</f>
        <v>1020540</v>
      </c>
      <c r="J18" s="1340"/>
      <c r="K18" s="1340"/>
      <c r="L18" s="1337">
        <f t="shared" si="0"/>
        <v>1916841</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12.75" customHeight="1" x14ac:dyDescent="0.2">
      <c r="B25" s="1342"/>
      <c r="C25" s="1343"/>
      <c r="D25" s="1344"/>
      <c r="E25" s="1345"/>
      <c r="F25" s="1345"/>
      <c r="G25" s="1345"/>
      <c r="H25" s="1345"/>
      <c r="I25" s="1345"/>
      <c r="J25" s="1345"/>
      <c r="K25" s="1345"/>
      <c r="L25" s="1345"/>
      <c r="M25" s="1345"/>
      <c r="N25" s="1341"/>
    </row>
    <row r="26" spans="2:14" x14ac:dyDescent="0.2">
      <c r="B26" s="1254"/>
      <c r="C26" s="1346"/>
      <c r="D26" s="1347"/>
      <c r="E26" s="1254"/>
      <c r="F26" s="1254"/>
      <c r="G26" s="1247"/>
      <c r="H26" s="1247"/>
      <c r="I26" s="1247"/>
      <c r="J26" s="1247"/>
      <c r="K26" s="1247"/>
      <c r="L26" s="1247"/>
      <c r="M26" s="1254"/>
      <c r="N26" s="1341"/>
    </row>
    <row r="27" spans="2:14" ht="13.5" customHeight="1" x14ac:dyDescent="0.2">
      <c r="B27" s="1279" t="s">
        <v>1734</v>
      </c>
      <c r="C27" s="1346"/>
      <c r="D27" s="1347"/>
      <c r="E27" s="1254"/>
      <c r="F27" s="1254"/>
      <c r="G27" s="1247"/>
      <c r="H27" s="1247"/>
      <c r="I27" s="1247"/>
      <c r="J27" s="1247"/>
      <c r="K27" s="1247"/>
      <c r="L27" s="1247"/>
      <c r="M27" s="1254"/>
      <c r="N27" s="1341"/>
    </row>
    <row r="28" spans="2:14" ht="8.25" customHeight="1" x14ac:dyDescent="0.2">
      <c r="B28" s="1279"/>
      <c r="C28" s="1346"/>
      <c r="D28" s="1347"/>
      <c r="E28" s="1254"/>
      <c r="F28" s="1254"/>
      <c r="G28" s="1247"/>
      <c r="H28" s="1247"/>
      <c r="I28" s="1247"/>
      <c r="J28" s="1247"/>
      <c r="K28" s="1247"/>
      <c r="L28" s="1247"/>
      <c r="M28" s="1254"/>
      <c r="N28" s="1341"/>
    </row>
    <row r="29" spans="2:14" x14ac:dyDescent="0.2">
      <c r="B29" s="1348" t="s">
        <v>1837</v>
      </c>
      <c r="C29" s="1349"/>
      <c r="D29" s="1350"/>
      <c r="E29" s="1351"/>
      <c r="F29" s="1351"/>
      <c r="G29" s="1351"/>
      <c r="H29" s="1351"/>
      <c r="I29" s="317"/>
      <c r="J29" s="317"/>
    </row>
    <row r="30" spans="2:14" x14ac:dyDescent="0.2">
      <c r="B30" s="1274"/>
      <c r="C30" s="1352"/>
      <c r="D30" s="1353"/>
      <c r="E30" s="1275"/>
      <c r="F30" s="1275"/>
      <c r="G30" s="317"/>
      <c r="H30" s="317"/>
      <c r="I30" s="317"/>
      <c r="J30" s="317"/>
    </row>
    <row r="31" spans="2:14" ht="13.5" customHeight="1" x14ac:dyDescent="0.2">
      <c r="B31" s="1273" t="s">
        <v>1246</v>
      </c>
      <c r="G31" s="317"/>
      <c r="H31" s="317"/>
      <c r="I31" s="317"/>
      <c r="J31" s="317"/>
    </row>
    <row r="32" spans="2:14" ht="13.5" customHeight="1" x14ac:dyDescent="0.2">
      <c r="B32" s="1356"/>
      <c r="C32" s="1357"/>
      <c r="D32" s="1358"/>
      <c r="E32" s="1294"/>
      <c r="F32" s="1294"/>
      <c r="G32" s="1294"/>
      <c r="H32" s="1294"/>
      <c r="I32" s="1294"/>
      <c r="J32" s="1294"/>
      <c r="K32" s="1359"/>
      <c r="L32" s="1359"/>
      <c r="M32" s="1294"/>
    </row>
    <row r="33" spans="2:13" ht="9.6" customHeight="1" x14ac:dyDescent="0.2">
      <c r="B33" s="1360"/>
      <c r="G33" s="317"/>
      <c r="H33" s="317"/>
      <c r="I33" s="317"/>
      <c r="J33" s="317"/>
    </row>
    <row r="34" spans="2:13" ht="11.25" customHeight="1" x14ac:dyDescent="0.2">
      <c r="B34" s="1361" t="s">
        <v>1735</v>
      </c>
      <c r="C34" s="1362"/>
      <c r="D34" s="1362"/>
      <c r="E34" s="1362"/>
      <c r="F34" s="1362"/>
      <c r="G34" s="1362"/>
      <c r="H34" s="1362"/>
      <c r="I34" s="1363"/>
      <c r="J34" s="1363"/>
      <c r="K34" s="1363"/>
      <c r="L34" s="1363"/>
      <c r="M34" s="1363"/>
    </row>
    <row r="35" spans="2:13" ht="11.25" customHeight="1" x14ac:dyDescent="0.2">
      <c r="B35" s="1364" t="s">
        <v>1584</v>
      </c>
      <c r="C35" s="1363"/>
      <c r="D35" s="1363"/>
      <c r="E35" s="1363"/>
      <c r="F35" s="1363"/>
      <c r="G35" s="1363"/>
      <c r="H35" s="1363"/>
      <c r="I35" s="1363"/>
      <c r="J35" s="1363"/>
      <c r="K35" s="1363"/>
      <c r="L35" s="1363"/>
      <c r="M35" s="1363"/>
    </row>
    <row r="36" spans="2:13" ht="3.95" customHeight="1" x14ac:dyDescent="0.2">
      <c r="B36" s="1364"/>
      <c r="C36" s="1363"/>
      <c r="D36" s="1363"/>
      <c r="E36" s="1363"/>
      <c r="F36" s="1363"/>
      <c r="G36" s="1363"/>
      <c r="H36" s="1363"/>
      <c r="I36" s="1363"/>
      <c r="J36" s="1363"/>
      <c r="K36" s="1363"/>
      <c r="L36" s="1363"/>
      <c r="M36" s="1363"/>
    </row>
    <row r="37" spans="2:13" ht="11.25" customHeight="1" x14ac:dyDescent="0.2">
      <c r="B37" s="1361" t="s">
        <v>1736</v>
      </c>
      <c r="C37" s="1363"/>
      <c r="D37" s="1363"/>
      <c r="E37" s="1363"/>
      <c r="F37" s="1363"/>
      <c r="G37" s="1363"/>
      <c r="H37" s="1363"/>
      <c r="I37" s="1363"/>
      <c r="J37" s="1363"/>
      <c r="K37" s="1363"/>
      <c r="L37" s="1363"/>
      <c r="M37" s="1363"/>
    </row>
    <row r="38" spans="2:13" ht="11.25" customHeight="1" x14ac:dyDescent="0.2">
      <c r="B38" s="1297" t="s">
        <v>1585</v>
      </c>
      <c r="C38" s="1365"/>
      <c r="D38" s="1366"/>
      <c r="E38" s="1297"/>
      <c r="F38" s="1297"/>
      <c r="G38" s="1297"/>
      <c r="H38" s="1297"/>
      <c r="I38" s="1297"/>
      <c r="J38" s="1297"/>
      <c r="K38" s="1367"/>
      <c r="L38" s="1367"/>
      <c r="M38" s="1297"/>
    </row>
    <row r="39" spans="2:13" ht="3.95" customHeight="1" x14ac:dyDescent="0.2">
      <c r="B39" s="1297"/>
      <c r="C39" s="1365"/>
      <c r="D39" s="1366"/>
      <c r="E39" s="1297"/>
      <c r="F39" s="1297"/>
      <c r="G39" s="1297"/>
      <c r="H39" s="1297"/>
      <c r="I39" s="1297"/>
      <c r="J39" s="1297"/>
      <c r="K39" s="1367"/>
      <c r="L39" s="1367"/>
      <c r="M39" s="1297"/>
    </row>
    <row r="40" spans="2:13" ht="11.25" customHeight="1" x14ac:dyDescent="0.2">
      <c r="B40" s="1368" t="s">
        <v>1737</v>
      </c>
      <c r="C40" s="1365"/>
      <c r="D40" s="1366"/>
      <c r="E40" s="1297"/>
      <c r="F40" s="1297"/>
      <c r="G40" s="1297"/>
      <c r="H40" s="1297"/>
      <c r="I40" s="1297"/>
      <c r="J40" s="1297"/>
      <c r="K40" s="1367"/>
      <c r="L40" s="1367"/>
      <c r="M40" s="1297"/>
    </row>
    <row r="41" spans="2:13" ht="3.95" customHeight="1" x14ac:dyDescent="0.2">
      <c r="B41" s="1368"/>
      <c r="C41" s="1365"/>
      <c r="D41" s="1366"/>
      <c r="E41" s="1297"/>
      <c r="F41" s="1297"/>
      <c r="G41" s="1297"/>
      <c r="H41" s="1297"/>
      <c r="I41" s="1297"/>
      <c r="J41" s="1297"/>
      <c r="K41" s="1367"/>
      <c r="L41" s="1367"/>
      <c r="M41" s="1297"/>
    </row>
    <row r="42" spans="2:13" ht="11.25" customHeight="1" x14ac:dyDescent="0.2">
      <c r="B42" s="1369" t="s">
        <v>1738</v>
      </c>
      <c r="C42" s="1365"/>
      <c r="D42" s="1366"/>
      <c r="E42" s="1297"/>
      <c r="F42" s="1297"/>
      <c r="G42" s="1297"/>
      <c r="H42" s="1297"/>
      <c r="I42" s="1297"/>
      <c r="J42" s="1297"/>
      <c r="K42" s="1367"/>
      <c r="L42" s="1367"/>
      <c r="M42" s="1297"/>
    </row>
    <row r="43" spans="2:13" ht="11.25" customHeight="1" x14ac:dyDescent="0.2">
      <c r="B43" s="1297" t="s">
        <v>1586</v>
      </c>
      <c r="G43" s="317"/>
      <c r="H43" s="317"/>
      <c r="I43" s="317"/>
      <c r="J43" s="317"/>
    </row>
    <row r="44" spans="2:13" ht="11.1" customHeight="1" x14ac:dyDescent="0.2">
      <c r="B44" s="1297"/>
      <c r="G44" s="317"/>
      <c r="H44" s="317"/>
      <c r="I44" s="317"/>
      <c r="J44" s="317"/>
    </row>
    <row r="45" spans="2:13" ht="11.1" customHeight="1" x14ac:dyDescent="0.2">
      <c r="B45" s="1297"/>
      <c r="G45" s="317"/>
      <c r="H45" s="317"/>
      <c r="I45" s="317"/>
      <c r="J45" s="317"/>
    </row>
    <row r="46" spans="2:13" ht="13.5" customHeight="1" x14ac:dyDescent="0.2">
      <c r="M46" s="1370"/>
    </row>
    <row r="47" spans="2:13" ht="13.5" customHeight="1" x14ac:dyDescent="0.2">
      <c r="M47" s="1370"/>
    </row>
    <row r="48" spans="2:13" ht="13.5" customHeight="1" x14ac:dyDescent="0.2">
      <c r="M48" s="1370"/>
    </row>
    <row r="49" spans="2:14" ht="13.5" customHeight="1" x14ac:dyDescent="0.2">
      <c r="G49" s="317"/>
      <c r="H49" s="317"/>
      <c r="I49" s="317"/>
      <c r="J49" s="317"/>
    </row>
    <row r="50" spans="2:14" ht="13.5" customHeight="1" x14ac:dyDescent="0.2">
      <c r="G50" s="317"/>
      <c r="H50" s="317"/>
      <c r="I50" s="317"/>
      <c r="J50" s="317"/>
    </row>
    <row r="51" spans="2:14" ht="13.5" customHeight="1" x14ac:dyDescent="0.2">
      <c r="G51" s="317"/>
      <c r="H51" s="317"/>
      <c r="I51" s="317"/>
      <c r="J51" s="317"/>
    </row>
    <row r="52" spans="2:14" ht="13.5" customHeight="1" x14ac:dyDescent="0.2">
      <c r="G52" s="317"/>
      <c r="H52" s="317"/>
      <c r="I52" s="317"/>
      <c r="J52" s="317"/>
    </row>
    <row r="53" spans="2:14" ht="13.5" customHeight="1" x14ac:dyDescent="0.2">
      <c r="G53" s="317"/>
      <c r="H53" s="317"/>
      <c r="I53" s="317"/>
      <c r="J53" s="317"/>
    </row>
    <row r="54" spans="2:14" ht="13.5" customHeight="1" x14ac:dyDescent="0.2">
      <c r="G54" s="317"/>
      <c r="H54" s="317"/>
      <c r="I54" s="317"/>
      <c r="J54" s="317"/>
    </row>
    <row r="55" spans="2:14" s="1255" customFormat="1" ht="13.5" customHeight="1" x14ac:dyDescent="0.2">
      <c r="B55" s="317"/>
      <c r="C55" s="1354"/>
      <c r="D55" s="1355"/>
      <c r="E55" s="317"/>
      <c r="F55" s="317"/>
      <c r="G55" s="317"/>
      <c r="H55" s="317"/>
      <c r="I55" s="317"/>
      <c r="J55" s="317"/>
      <c r="M55" s="317"/>
      <c r="N55" s="317"/>
    </row>
    <row r="56" spans="2:14" s="1255" customFormat="1" ht="13.5" customHeight="1" x14ac:dyDescent="0.2">
      <c r="B56" s="317"/>
      <c r="C56" s="1354"/>
      <c r="D56" s="1355"/>
      <c r="E56" s="317"/>
      <c r="F56" s="317"/>
      <c r="M56" s="317"/>
      <c r="N56" s="317"/>
    </row>
    <row r="57" spans="2:14" s="1255" customFormat="1" ht="13.5" customHeight="1" x14ac:dyDescent="0.2">
      <c r="B57" s="317"/>
      <c r="C57" s="1354"/>
      <c r="D57" s="1355"/>
      <c r="E57" s="317"/>
      <c r="F57" s="317"/>
      <c r="M57" s="317"/>
      <c r="N57" s="317"/>
    </row>
    <row r="58" spans="2:14" s="1255" customFormat="1" ht="13.5" customHeight="1" x14ac:dyDescent="0.2">
      <c r="B58" s="317"/>
      <c r="C58" s="1354"/>
      <c r="D58" s="1355"/>
      <c r="E58" s="317"/>
      <c r="F58" s="317"/>
      <c r="M58" s="317"/>
      <c r="N58" s="317"/>
    </row>
    <row r="59" spans="2:14" s="1255" customFormat="1" ht="25.5" customHeight="1" x14ac:dyDescent="0.2">
      <c r="B59" s="317"/>
      <c r="C59" s="1354"/>
      <c r="D59" s="1355"/>
      <c r="E59" s="317"/>
      <c r="F59" s="317"/>
      <c r="M59" s="317"/>
      <c r="N59" s="317"/>
    </row>
    <row r="60" spans="2:14" s="1255" customFormat="1" ht="25.5" customHeight="1" x14ac:dyDescent="0.2">
      <c r="B60" s="317"/>
      <c r="C60" s="1354"/>
      <c r="D60" s="1355"/>
      <c r="E60" s="317"/>
      <c r="F60" s="317"/>
      <c r="M60" s="317"/>
      <c r="N60" s="317"/>
    </row>
    <row r="61" spans="2:14" s="1255" customFormat="1" ht="25.5" customHeight="1" x14ac:dyDescent="0.2">
      <c r="B61" s="317"/>
      <c r="C61" s="1354"/>
      <c r="D61" s="1355"/>
      <c r="E61" s="317"/>
      <c r="F61" s="317"/>
      <c r="M61" s="317"/>
      <c r="N61" s="317"/>
    </row>
    <row r="62" spans="2:14" s="1255" customFormat="1" ht="25.5" customHeight="1" x14ac:dyDescent="0.2">
      <c r="B62" s="317"/>
      <c r="C62" s="1354"/>
      <c r="D62" s="1355"/>
      <c r="E62" s="317"/>
      <c r="F62" s="317"/>
      <c r="M62" s="317"/>
      <c r="N62" s="317"/>
    </row>
    <row r="63" spans="2:14" s="1255" customFormat="1" ht="25.5" customHeight="1" x14ac:dyDescent="0.2">
      <c r="B63" s="317"/>
      <c r="C63" s="1354"/>
      <c r="D63" s="1355"/>
      <c r="E63" s="317"/>
      <c r="F63" s="317"/>
      <c r="M63" s="317"/>
      <c r="N63" s="317"/>
    </row>
    <row r="64" spans="2:14" s="1255" customFormat="1" ht="25.5" customHeight="1" x14ac:dyDescent="0.2">
      <c r="B64" s="317"/>
      <c r="C64" s="1354"/>
      <c r="D64" s="1355"/>
      <c r="E64" s="317"/>
      <c r="F64" s="317"/>
      <c r="M64" s="317"/>
      <c r="N64" s="317"/>
    </row>
    <row r="65" spans="2:14" s="1255" customFormat="1" ht="25.5" customHeight="1" x14ac:dyDescent="0.2">
      <c r="B65" s="317"/>
      <c r="C65" s="1354"/>
      <c r="D65" s="1355"/>
      <c r="E65" s="317"/>
      <c r="F65" s="317"/>
      <c r="M65" s="317"/>
      <c r="N65" s="317"/>
    </row>
    <row r="66" spans="2:14" s="1255" customFormat="1" ht="25.5" customHeight="1" x14ac:dyDescent="0.2">
      <c r="B66" s="317"/>
      <c r="C66" s="1354"/>
      <c r="D66" s="1355"/>
      <c r="E66" s="317"/>
      <c r="F66" s="317"/>
      <c r="M66" s="317"/>
      <c r="N66" s="317"/>
    </row>
    <row r="67" spans="2:14" s="1255" customFormat="1" ht="25.5" customHeight="1" x14ac:dyDescent="0.2">
      <c r="B67" s="317"/>
      <c r="C67" s="1354"/>
      <c r="D67" s="1355"/>
      <c r="E67" s="317"/>
      <c r="F67" s="317"/>
      <c r="M67" s="317"/>
      <c r="N67" s="317"/>
    </row>
    <row r="68" spans="2:14" s="1255" customFormat="1" ht="25.5" customHeight="1" x14ac:dyDescent="0.2">
      <c r="B68" s="317"/>
      <c r="C68" s="1354"/>
      <c r="D68" s="1355"/>
      <c r="E68" s="317"/>
      <c r="F68" s="317"/>
      <c r="M68" s="317"/>
      <c r="N68" s="317"/>
    </row>
    <row r="69" spans="2:14" s="1255" customFormat="1" ht="25.5" customHeight="1" x14ac:dyDescent="0.2">
      <c r="B69" s="317"/>
      <c r="C69" s="1354"/>
      <c r="D69" s="1355"/>
      <c r="E69" s="317"/>
      <c r="F69" s="317"/>
      <c r="M69" s="317"/>
      <c r="N69" s="317"/>
    </row>
    <row r="70" spans="2:14" s="1255" customFormat="1" ht="25.5" customHeight="1" x14ac:dyDescent="0.2">
      <c r="B70" s="317"/>
      <c r="C70" s="1354"/>
      <c r="D70" s="1355"/>
      <c r="E70" s="317"/>
      <c r="F70" s="317"/>
      <c r="M70" s="317"/>
      <c r="N70" s="317"/>
    </row>
    <row r="71" spans="2:14" ht="13.5" customHeight="1" x14ac:dyDescent="0.2"/>
    <row r="72" spans="2:14" ht="13.5" customHeight="1" x14ac:dyDescent="0.2"/>
    <row r="73" spans="2:14" ht="13.5" customHeight="1" x14ac:dyDescent="0.2"/>
    <row r="74" spans="2:14" ht="13.5" customHeight="1" x14ac:dyDescent="0.2"/>
    <row r="75" spans="2:14" ht="13.5" customHeight="1" x14ac:dyDescent="0.2"/>
    <row r="76" spans="2:14" ht="13.5" customHeight="1" x14ac:dyDescent="0.2"/>
    <row r="77" spans="2:14" ht="13.5" customHeight="1" x14ac:dyDescent="0.2"/>
    <row r="78" spans="2:14" ht="13.5" customHeight="1" x14ac:dyDescent="0.2"/>
    <row r="79" spans="2:14" ht="13.5" customHeight="1" x14ac:dyDescent="0.2"/>
    <row r="80" spans="2:14"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zoomScale="120" zoomScaleNormal="120" workbookViewId="0">
      <selection activeCell="B16" sqref="B1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Mt Zion CUSD 3</v>
      </c>
      <c r="B1" s="2437"/>
      <c r="C1" s="2437"/>
      <c r="D1" s="2437"/>
      <c r="E1" s="2437"/>
      <c r="F1" s="2437"/>
    </row>
    <row r="2" spans="1:7" ht="13.5" customHeight="1" x14ac:dyDescent="0.2">
      <c r="A2" s="2433">
        <f>'Single Audit Cover'!E7</f>
        <v>39055003026</v>
      </c>
      <c r="B2" s="2433"/>
      <c r="C2" s="2433"/>
      <c r="D2" s="2433"/>
      <c r="E2" s="2433"/>
      <c r="F2" s="2433"/>
      <c r="G2" s="1272"/>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3" t="s">
        <v>1728</v>
      </c>
      <c r="C6" s="317"/>
      <c r="D6" s="317"/>
    </row>
    <row r="7" spans="1:7" ht="60.95" customHeight="1" x14ac:dyDescent="0.2">
      <c r="A7" s="2436" t="s">
        <v>2079</v>
      </c>
      <c r="B7" s="2436"/>
      <c r="C7" s="2436"/>
      <c r="D7" s="2436"/>
      <c r="E7" s="2436"/>
      <c r="F7" s="2436"/>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6" t="s">
        <v>2147</v>
      </c>
      <c r="B13" s="2436"/>
      <c r="C13" s="2436"/>
      <c r="D13" s="2436"/>
      <c r="E13" s="2436"/>
      <c r="F13" s="2436"/>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t="s">
        <v>2080</v>
      </c>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4" t="s">
        <v>2081</v>
      </c>
      <c r="B32" s="2444"/>
      <c r="C32" s="2444"/>
      <c r="D32" s="2444"/>
      <c r="E32" s="2444"/>
      <c r="F32" s="2444"/>
    </row>
    <row r="33" spans="1:6" ht="13.5" customHeight="1" x14ac:dyDescent="0.2">
      <c r="A33" s="328" t="s">
        <v>1434</v>
      </c>
      <c r="B33" s="328"/>
      <c r="C33" s="1285">
        <v>34716</v>
      </c>
      <c r="D33" s="1903"/>
      <c r="E33" s="1283"/>
    </row>
    <row r="34" spans="1:6" ht="13.5" customHeight="1" x14ac:dyDescent="0.2">
      <c r="A34" s="328" t="s">
        <v>1835</v>
      </c>
      <c r="B34" s="328"/>
      <c r="C34" s="1286">
        <v>0</v>
      </c>
      <c r="D34" s="1903" t="s">
        <v>1589</v>
      </c>
      <c r="E34" s="2445">
        <f>+C33+C34</f>
        <v>34716</v>
      </c>
      <c r="F34" s="244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2095</v>
      </c>
      <c r="D38" s="1903"/>
      <c r="E38" s="1283"/>
    </row>
    <row r="39" spans="1:6" ht="14.25" customHeight="1" x14ac:dyDescent="0.2">
      <c r="A39" s="328"/>
      <c r="B39" s="328" t="s">
        <v>1436</v>
      </c>
      <c r="C39" s="1289" t="s">
        <v>2095</v>
      </c>
      <c r="D39" s="1903"/>
      <c r="E39" s="1283"/>
    </row>
    <row r="40" spans="1:6" ht="14.25" customHeight="1" x14ac:dyDescent="0.2">
      <c r="A40" s="328"/>
      <c r="B40" s="328" t="s">
        <v>1437</v>
      </c>
      <c r="C40" s="1289" t="s">
        <v>2095</v>
      </c>
      <c r="D40" s="1903"/>
      <c r="E40" s="1283"/>
    </row>
    <row r="41" spans="1:6" ht="14.25" customHeight="1" x14ac:dyDescent="0.2">
      <c r="A41" s="328"/>
      <c r="B41" s="328" t="s">
        <v>1438</v>
      </c>
      <c r="C41" s="1289" t="s">
        <v>2095</v>
      </c>
      <c r="D41" s="1903"/>
      <c r="E41" s="1283"/>
    </row>
    <row r="42" spans="1:6" ht="14.25" customHeight="1" x14ac:dyDescent="0.2">
      <c r="A42" s="328" t="s">
        <v>1439</v>
      </c>
      <c r="B42" s="328"/>
      <c r="C42" s="1901" t="s">
        <v>383</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3" t="s">
        <v>1551</v>
      </c>
      <c r="C51" s="2443"/>
      <c r="D51" s="2443"/>
    </row>
    <row r="52" spans="1:5" ht="14.25" customHeight="1" x14ac:dyDescent="0.2">
      <c r="A52" s="1298"/>
      <c r="B52" s="2443"/>
      <c r="C52" s="2443"/>
      <c r="D52" s="244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4" zoomScale="110" zoomScaleNormal="110" workbookViewId="0">
      <selection activeCell="I49" sqref="I4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Mt Zion CUSD 3</v>
      </c>
      <c r="C1" s="2453"/>
      <c r="D1" s="2453"/>
      <c r="E1" s="2453"/>
      <c r="F1" s="2453"/>
      <c r="G1" s="2453"/>
      <c r="H1" s="2453"/>
      <c r="I1" s="2453"/>
      <c r="J1" s="1406"/>
    </row>
    <row r="2" spans="2:10" s="317" customFormat="1" ht="12.75" customHeight="1" x14ac:dyDescent="0.2">
      <c r="B2" s="2454">
        <f>'Single Audit Cover'!E7</f>
        <v>39055003026</v>
      </c>
      <c r="C2" s="2455"/>
      <c r="D2" s="2455"/>
      <c r="E2" s="2455"/>
      <c r="F2" s="2455"/>
      <c r="G2" s="2455"/>
      <c r="H2" s="2455"/>
      <c r="I2" s="2455"/>
      <c r="J2" s="1406"/>
    </row>
    <row r="3" spans="2:10" s="317" customFormat="1" ht="12.75" customHeight="1" x14ac:dyDescent="0.2">
      <c r="B3" s="2456" t="s">
        <v>1285</v>
      </c>
      <c r="C3" s="2457"/>
      <c r="D3" s="2457"/>
      <c r="E3" s="2457"/>
      <c r="F3" s="2457"/>
      <c r="G3" s="2457"/>
      <c r="H3" s="2457"/>
      <c r="I3" s="2457"/>
      <c r="J3" s="1407"/>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6" t="s">
        <v>1284</v>
      </c>
      <c r="C7" s="2457"/>
      <c r="D7" s="2457"/>
      <c r="E7" s="2457"/>
      <c r="F7" s="2457"/>
      <c r="G7" s="2457"/>
      <c r="H7" s="2457"/>
      <c r="I7" s="245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8" t="s">
        <v>2144</v>
      </c>
      <c r="D11" s="245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2061</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2061</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2061</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2061</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9" t="s">
        <v>2145</v>
      </c>
      <c r="E29" s="2459"/>
      <c r="F29" s="2459"/>
      <c r="G29" s="2459"/>
      <c r="H29" s="2459"/>
      <c r="I29" s="2459"/>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2061</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60" t="s">
        <v>1748</v>
      </c>
      <c r="D37" s="2461"/>
      <c r="E37" s="2461"/>
      <c r="F37" s="2462"/>
      <c r="G37" s="2460" t="s">
        <v>1592</v>
      </c>
      <c r="H37" s="2461"/>
      <c r="I37" s="2462"/>
    </row>
    <row r="38" spans="2:9" ht="16.5" customHeight="1" x14ac:dyDescent="0.2">
      <c r="B38" s="1428" t="s">
        <v>2113</v>
      </c>
      <c r="C38" s="2448" t="s">
        <v>2146</v>
      </c>
      <c r="D38" s="2449"/>
      <c r="E38" s="2449"/>
      <c r="F38" s="2450"/>
      <c r="G38" s="2463">
        <v>415884</v>
      </c>
      <c r="H38" s="2464"/>
      <c r="I38" s="2465"/>
    </row>
    <row r="39" spans="2:9" ht="16.5" customHeight="1" x14ac:dyDescent="0.2">
      <c r="B39" s="1428"/>
      <c r="C39" s="2448"/>
      <c r="D39" s="2449"/>
      <c r="E39" s="2449"/>
      <c r="F39" s="2450"/>
      <c r="G39" s="2451"/>
      <c r="H39" s="2451"/>
      <c r="I39" s="2451"/>
    </row>
    <row r="40" spans="2:9" ht="16.5" customHeight="1" x14ac:dyDescent="0.2">
      <c r="B40" s="1428"/>
      <c r="C40" s="2448"/>
      <c r="D40" s="2449"/>
      <c r="E40" s="2449"/>
      <c r="F40" s="2450"/>
      <c r="G40" s="2451"/>
      <c r="H40" s="2451"/>
      <c r="I40" s="2451"/>
    </row>
    <row r="41" spans="2:9" ht="16.5" customHeight="1" x14ac:dyDescent="0.2">
      <c r="B41" s="1428"/>
      <c r="C41" s="2448"/>
      <c r="D41" s="2449"/>
      <c r="E41" s="2449"/>
      <c r="F41" s="2450"/>
      <c r="G41" s="2451"/>
      <c r="H41" s="2451"/>
      <c r="I41" s="2451"/>
    </row>
    <row r="42" spans="2:9" ht="16.5" customHeight="1" x14ac:dyDescent="0.2">
      <c r="B42" s="1428"/>
      <c r="C42" s="2448"/>
      <c r="D42" s="2449"/>
      <c r="E42" s="2449"/>
      <c r="F42" s="2450"/>
      <c r="G42" s="2451"/>
      <c r="H42" s="2451"/>
      <c r="I42" s="2451"/>
    </row>
    <row r="43" spans="2:9" ht="16.5" customHeight="1" x14ac:dyDescent="0.2">
      <c r="B43" s="1428"/>
      <c r="C43" s="2466" t="s">
        <v>1593</v>
      </c>
      <c r="D43" s="2467"/>
      <c r="E43" s="2467"/>
      <c r="F43" s="2468"/>
      <c r="G43" s="2469">
        <f>SUM(G38:I42)</f>
        <v>415884</v>
      </c>
      <c r="H43" s="2469"/>
      <c r="I43" s="2469"/>
    </row>
    <row r="44" spans="2:9" ht="12.75" customHeight="1" x14ac:dyDescent="0.2"/>
    <row r="45" spans="2:9" ht="12.75" customHeight="1" x14ac:dyDescent="0.2">
      <c r="B45" s="1419" t="s">
        <v>2060</v>
      </c>
      <c r="D45" s="2470">
        <v>1020540</v>
      </c>
      <c r="E45" s="2471"/>
    </row>
    <row r="46" spans="2:9" ht="5.25" customHeight="1" x14ac:dyDescent="0.2">
      <c r="B46" s="1429"/>
      <c r="D46" s="1430"/>
      <c r="E46" s="1431"/>
    </row>
    <row r="47" spans="2:9" ht="12.75" customHeight="1" x14ac:dyDescent="0.2">
      <c r="B47" s="1297" t="s">
        <v>1594</v>
      </c>
      <c r="C47" s="1297"/>
      <c r="D47" s="1432">
        <f>+G43/D45</f>
        <v>0.40751366923393495</v>
      </c>
      <c r="E47" s="1433"/>
      <c r="F47" s="1434"/>
      <c r="I47" s="1435"/>
    </row>
    <row r="48" spans="2:9" ht="9.9499999999999993" customHeight="1" x14ac:dyDescent="0.2"/>
    <row r="49" spans="1:9" x14ac:dyDescent="0.2">
      <c r="B49" s="1365" t="s">
        <v>1273</v>
      </c>
      <c r="C49" s="1279"/>
      <c r="D49" s="1279"/>
      <c r="E49" s="2472">
        <v>750000</v>
      </c>
      <c r="F49" s="2472"/>
      <c r="G49" s="2472"/>
      <c r="H49" s="322"/>
    </row>
    <row r="51" spans="1:9" ht="13.5" customHeight="1" x14ac:dyDescent="0.2">
      <c r="B51" s="1365" t="s">
        <v>1272</v>
      </c>
      <c r="C51" s="1279"/>
      <c r="E51" s="1422"/>
      <c r="F51" s="1297" t="s">
        <v>885</v>
      </c>
      <c r="G51" s="1422" t="s">
        <v>2061</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13"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Mt Zion CUSD 3</v>
      </c>
      <c r="C1" s="2452"/>
      <c r="D1" s="2452"/>
      <c r="E1" s="2452"/>
      <c r="F1" s="2452"/>
      <c r="G1" s="2452"/>
      <c r="H1" s="2452"/>
      <c r="I1" s="2452"/>
      <c r="J1" s="2452"/>
      <c r="K1" s="2452"/>
      <c r="L1" s="1371"/>
      <c r="M1" s="1371"/>
    </row>
    <row r="2" spans="1:13" ht="12" customHeight="1" x14ac:dyDescent="0.2">
      <c r="B2" s="2454">
        <f>'Single Audit Cover'!E7</f>
        <v>39055003026</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1987</v>
      </c>
      <c r="D10" s="1383" t="s">
        <v>2143</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F13" sqref="F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Mt Zion CUSD 3</v>
      </c>
      <c r="C1" s="2479"/>
      <c r="D1" s="2479"/>
      <c r="E1" s="2479"/>
      <c r="F1" s="2479"/>
      <c r="G1" s="2479"/>
      <c r="H1" s="2479"/>
      <c r="I1" s="2479"/>
      <c r="J1" s="2479"/>
      <c r="K1" s="2479"/>
      <c r="L1" s="1449"/>
    </row>
    <row r="2" spans="1:12" ht="12.75" customHeight="1" x14ac:dyDescent="0.2">
      <c r="B2" s="2480">
        <f>'Single Audit Cover'!E7</f>
        <v>39055003026</v>
      </c>
      <c r="C2" s="2480"/>
      <c r="D2" s="2480"/>
      <c r="E2" s="2480"/>
      <c r="F2" s="2480"/>
      <c r="G2" s="2480"/>
      <c r="H2" s="2480"/>
      <c r="I2" s="2480"/>
      <c r="J2" s="2480"/>
      <c r="K2" s="2480"/>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1987</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9" t="s">
        <v>2143</v>
      </c>
      <c r="G12" s="2459"/>
      <c r="H12" s="2459"/>
      <c r="I12" s="2459"/>
      <c r="J12" s="2459"/>
      <c r="K12" s="245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2" t="str">
        <f>'Single Audit Cover'!A7</f>
        <v>Mt Zion CUSD 3</v>
      </c>
      <c r="C1" s="2452"/>
      <c r="D1" s="2452"/>
      <c r="E1" s="1469"/>
    </row>
    <row r="2" spans="2:5" s="1279" customFormat="1" ht="12.75" customHeight="1" x14ac:dyDescent="0.2">
      <c r="B2" s="2454">
        <f>'Single Audit Cover'!E7</f>
        <v>39055003026</v>
      </c>
      <c r="C2" s="2454"/>
      <c r="D2" s="2454"/>
      <c r="E2" s="1470"/>
    </row>
    <row r="3" spans="2:5" ht="12.75" customHeight="1" x14ac:dyDescent="0.2">
      <c r="B3" s="2475" t="s">
        <v>1763</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2080</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schemas.microsoft.com/office/2006/metadata/properties"/>
    <ds:schemaRef ds:uri="4d435f69-8686-490b-bd6d-b153bf22ab50"/>
    <ds:schemaRef ds:uri="d21dc803-237d-4c68-8692-8d731fd29118"/>
    <ds:schemaRef ds:uri="6ce3111e-7420-4802-b50a-75d4e9a0b980"/>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2019-10-07T18:56:16Z</cp:lastPrinted>
  <dcterms:created xsi:type="dcterms:W3CDTF">2003-10-29T19:06:34Z</dcterms:created>
  <dcterms:modified xsi:type="dcterms:W3CDTF">2020-01-08T15:18:57Z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{E4BD3FFC-6822-43D1-B78B-2F4BB1F231B7}</vt:lpwstr>
  </property>
</Properties>
</file>