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C41430A-3362-4376-BD75-E51AE908F19F}"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G30" i="108"/>
  <c r="D31" i="108"/>
  <c r="D36" i="108"/>
  <c r="E31" i="108"/>
  <c r="G31" i="108"/>
  <c r="E33"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L22" i="37"/>
  <c r="D24" i="37"/>
  <c r="B4270" i="106" s="1"/>
  <c r="D4270" i="106" s="1"/>
  <c r="L5" i="11"/>
  <c r="B2056" i="106" s="1"/>
  <c r="D2056" i="106" s="1"/>
  <c r="H28" i="118" l="1"/>
  <c r="J352" i="29"/>
  <c r="J367" i="29" s="1"/>
  <c r="B7245" i="106" s="1"/>
  <c r="H342" i="29"/>
  <c r="L367" i="29"/>
  <c r="F42" i="34"/>
  <c r="G29" i="108"/>
  <c r="F28" i="108"/>
  <c r="J77" i="4"/>
  <c r="B6262" i="106" s="1"/>
  <c r="D6262" i="106" s="1"/>
  <c r="G39" i="108"/>
  <c r="E34" i="108"/>
  <c r="G15" i="145"/>
  <c r="D7245" i="106"/>
  <c r="B6289" i="106"/>
  <c r="D6289" i="106" s="1"/>
  <c r="H365" i="29"/>
  <c r="B7242" i="106" s="1"/>
  <c r="D7242" i="106" s="1"/>
  <c r="B2724" i="106"/>
  <c r="D2724" i="106" s="1"/>
  <c r="F19" i="7"/>
  <c r="B1807" i="106" s="1"/>
  <c r="D1807" i="106" s="1"/>
  <c r="B281" i="106"/>
  <c r="D281" i="106" s="1"/>
  <c r="L13" i="11"/>
  <c r="B2060" i="106" s="1"/>
  <c r="D2060" i="106" s="1"/>
  <c r="J41" i="3"/>
  <c r="I210" i="29"/>
  <c r="B7071" i="106" s="1"/>
  <c r="D7071" i="106" s="1"/>
  <c r="G210" i="29"/>
  <c r="K184" i="29"/>
  <c r="F13" i="4" s="1"/>
  <c r="B2596" i="106" s="1"/>
  <c r="D2596" i="106" s="1"/>
  <c r="E29" i="108"/>
  <c r="C129" i="29"/>
  <c r="F27" i="108"/>
  <c r="F34"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0" i="106" l="1"/>
  <c r="B5778" i="106"/>
  <c r="D5778" i="106" s="1"/>
  <c r="G6" i="4"/>
  <c r="B2604" i="106" s="1"/>
  <c r="D2604" i="106" s="1"/>
  <c r="I7" i="4"/>
  <c r="B4444" i="106" s="1"/>
  <c r="D4444" i="106" s="1"/>
  <c r="D7254" i="106"/>
  <c r="B5770" i="106"/>
  <c r="D5770" i="106" s="1"/>
  <c r="D7256" i="106"/>
  <c r="D7251" i="106"/>
  <c r="K342" i="29"/>
  <c r="F13" i="34" s="1"/>
  <c r="L16" i="11"/>
  <c r="B2061" i="106" s="1"/>
  <c r="D2061" i="106" s="1"/>
  <c r="N23" i="3"/>
  <c r="B284" i="106" s="1"/>
  <c r="D284" i="106" s="1"/>
  <c r="F41" i="108"/>
  <c r="G43" i="108" s="1"/>
  <c r="B1365" i="106"/>
  <c r="D1365" i="106" s="1"/>
  <c r="F65" i="34"/>
  <c r="B5527" i="106"/>
  <c r="D5527" i="106" s="1"/>
  <c r="H151" i="29"/>
  <c r="B1273" i="106" s="1"/>
  <c r="D1273" i="106" s="1"/>
  <c r="C114" i="29"/>
  <c r="B757" i="106" s="1"/>
  <c r="D757" i="106" s="1"/>
  <c r="D44" i="36"/>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3" i="106"/>
  <c r="D6223" i="106" s="1"/>
  <c r="J10" i="4"/>
  <c r="B6225" i="106" s="1"/>
  <c r="D6225" i="106" s="1"/>
  <c r="F8" i="4"/>
  <c r="F10" i="4" s="1"/>
  <c r="B4125" i="106" s="1"/>
  <c r="D41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<sst xmlns="http://schemas.openxmlformats.org/spreadsheetml/2006/main" count="5113" uniqueCount="2122">
  <si>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</si>
  <si>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</si>
  <si>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</si>
  <si>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</si>
  <si>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</si>
  <si>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</si>
  <si>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</si>
  <si>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</si>
  <si>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</si>
  <si>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</si>
  <si>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</si>
  <si>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</si>
  <si>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</si>
  <si>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</si>
  <si>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</si>
  <si>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</si>
  <si>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</si>
  <si>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</si>
  <si>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</si>
  <si>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</si>
  <si>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</si>
  <si>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</si>
  <si>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</si>
  <si>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</si>
  <si>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</si>
  <si>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</si>
  <si>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</si>
  <si>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</si>
  <si>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</si>
  <si>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</si>
  <si>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</si>
  <si>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</si>
  <si>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</si>
  <si>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</si>
  <si>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</si>
  <si>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</si>
  <si>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</si>
  <si>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</si>
  <si>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</si>
  <si>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</si>
  <si>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</si>
  <si>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</si>
  <si>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</si>
  <si>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</si>
  <si>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</si>
  <si>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</si>
  <si>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</si>
  <si>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</si>
  <si>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</si>
  <si>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</si>
  <si>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</si>
  <si>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</si>
  <si>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</si>
  <si>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</si>
  <si>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</si>
  <si>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</si>
  <si>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</si>
  <si>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</si>
  <si>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</si>
  <si>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</si>
  <si>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</si>
  <si>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</si>
  <si>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</si>
  <si>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</si>
  <si>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</si>
  <si>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</si>
  <si>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</si>
  <si>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</si>
  <si>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</si>
  <si>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</si>
  <si>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</si>
  <si>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</si>
  <si>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</si>
  <si>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</si>
  <si>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</si>
  <si>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</si>
  <si>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</si>
  <si>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</si>
  <si>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</si>
  <si>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</si>
  <si>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</si>
  <si>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</si>
  <si>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</si>
  <si>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</si>
  <si>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</si>
  <si>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</si>
  <si>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</si>
  <si>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</si>
  <si>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</si>
  <si>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</si>
  <si>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</si>
  <si>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</si>
  <si>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</si>
  <si>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</si>
  <si>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</si>
  <si>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</si>
  <si>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</si>
  <si>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</si>
  <si>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</si>
  <si>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</si>
  <si>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</si>
  <si>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</si>
  <si>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</si>
  <si>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</si>
  <si>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</si>
  <si>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</si>
  <si>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</si>
  <si>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</si>
  <si>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</si>
  <si>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</si>
  <si>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</si>
  <si>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</si>
  <si>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</si>
  <si>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</si>
  <si>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</si>
  <si>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</si>
  <si>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</si>
  <si>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</si>
  <si>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</si>
  <si>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</si>
  <si>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</si>
  <si>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</si>
  <si>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</si>
  <si>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</si>
  <si>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</si>
  <si>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</si>
  <si>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</si>
  <si>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</si>
  <si>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</si>
  <si>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</si>
  <si>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</si>
  <si>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</si>
  <si>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</si>
  <si>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</si>
  <si>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</si>
  <si>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</si>
  <si>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</si>
  <si>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</si>
  <si>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</si>
  <si>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</si>
  <si>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</si>
  <si>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</si>
  <si>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</si>
  <si>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</si>
  <si>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</si>
  <si>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</si>
  <si>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</si>
  <si>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</si>
  <si>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</si>
  <si>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</si>
  <si>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</si>
  <si>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</si>
  <si>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</si>
  <si>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</si>
  <si>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</si>
  <si>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</si>
  <si>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</si>
  <si>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</si>
  <si>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</si>
  <si>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</si>
  <si>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</si>
  <si>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</si>
  <si>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</si>
  <si>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</si>
  <si>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</si>
  <si>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</si>
  <si>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</si>
  <si>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</si>
  <si>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</si>
  <si>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</si>
  <si>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</si>
  <si>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</si>
  <si>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</si>
  <si>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</si>
  <si>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</si>
  <si>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</si>
  <si>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</si>
  <si>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</si>
  <si>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</si>
  <si>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</si>
  <si>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</si>
  <si>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</si>
  <si>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</si>
  <si>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</si>
  <si>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</si>
  <si>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</si>
  <si>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</si>
  <si>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</si>
  <si>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</si>
  <si>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</si>
  <si>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</si>
  <si>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</si>
  <si>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</si>
  <si>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</si>
  <si>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</si>
  <si>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</si>
  <si>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</si>
  <si>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</si>
  <si>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</si>
  <si>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</si>
  <si>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</si>
  <si>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</si>
  <si>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</si>
  <si>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</si>
  <si>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</si>
  <si>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</si>
  <si>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</si>
  <si>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</si>
  <si>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</si>
  <si>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</si>
  <si>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</si>
  <si>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</si>
  <si>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</si>
  <si>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</si>
  <si>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</si>
  <si>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</si>
  <si>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</si>
  <si>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</si>
  <si>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</si>
  <si>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</si>
  <si>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</si>
  <si>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</si>
  <si>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</si>
  <si>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</si>
  <si>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</si>
  <si>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</si>
  <si>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</si>
  <si>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</si>
  <si>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</si>
  <si>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</si>
  <si>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</si>
  <si>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</si>
  <si>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</si>
  <si>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</si>
  <si>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</si>
  <si>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</si>
  <si>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</si>
  <si>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</si>
  <si>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</si>
  <si>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</si>
  <si>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</si>
  <si>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</si>
  <si>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</si>
  <si>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</si>
  <si>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</si>
  <si>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</si>
  <si>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</si>
  <si>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</si>
  <si>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</si>
  <si>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</si>
  <si>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</si>
  <si>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</si>
  <si>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</si>
  <si>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</si>
  <si>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</si>
  <si>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</si>
  <si>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</si>
  <si>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</si>
  <si>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</si>
  <si>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</si>
  <si>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</si>
  <si>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</si>
  <si>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</si>
  <si>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</si>
  <si>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</si>
  <si>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</si>
  <si>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</si>
  <si>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</si>
  <si>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</si>
  <si>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</si>
  <si>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</si>
  <si>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</si>
  <si>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</si>
  <si>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</si>
  <si>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</si>
  <si>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</si>
  <si>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</si>
  <si>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</si>
  <si>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</si>
  <si>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</si>
  <si>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</si>
  <si>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</si>
  <si>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</si>
  <si>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</si>
  <si>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</si>
  <si>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</si>
  <si>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</si>
  <si>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</si>
  <si>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</si>
  <si>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</si>
  <si>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</si>
  <si>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</si>
  <si>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</si>
  <si>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</si>
  <si>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</si>
  <si>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</si>
  <si>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</si>
  <si>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</si>
  <si>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</si>
  <si>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</si>
  <si>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</si>
  <si>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</si>
  <si>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</si>
  <si>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</si>
  <si>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</si>
  <si>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</si>
  <si>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</si>
  <si>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</si>
  <si>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</si>
  <si>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</si>
  <si>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</si>
  <si>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</si>
  <si>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</si>
  <si>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</si>
  <si>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</si>
  <si>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</si>
  <si>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</si>
  <si>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</si>
  <si>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</si>
  <si>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</si>
  <si>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</si>
  <si>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</si>
  <si>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</si>
  <si>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</si>
  <si>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</si>
  <si>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</si>
  <si>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</si>
  <si>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</si>
  <si>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</si>
  <si>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</si>
  <si>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</si>
  <si>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</si>
  <si>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</si>
  <si>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</si>
  <si>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</si>
  <si>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</si>
  <si>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</si>
  <si>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</si>
  <si>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</si>
  <si>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</si>
  <si>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</si>
  <si>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</si>
  <si>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</si>
  <si>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</si>
  <si>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</si>
  <si>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</si>
  <si>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</si>
  <si>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</si>
  <si>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</si>
  <si>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</si>
  <si>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</si>
  <si>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</si>
  <si>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</si>
  <si>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</si>
  <si>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</si>
  <si>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</si>
  <si>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</si>
  <si>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</si>
  <si>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</si>
  <si>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</si>
  <si>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</si>
  <si>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</si>
  <si>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</si>
  <si>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</si>
  <si>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</si>
  <si>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</si>
  <si>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</si>
  <si>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</si>
  <si>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</si>
  <si>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</si>
  <si>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</si>
  <si>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</si>
  <si>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</si>
  <si>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</si>
  <si>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</si>
  <si>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</si>
  <si>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</si>
  <si>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</si>
  <si>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</si>
  <si>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</si>
  <si>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</si>
  <si>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</si>
  <si>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</si>
  <si>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</si>
  <si>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</si>
  <si>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</si>
  <si>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</si>
  <si>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</si>
  <si>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</si>
  <si>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</si>
  <si>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</si>
  <si>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</si>
  <si>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</si>
  <si>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</si>
  <si>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</si>
  <si>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</si>
  <si>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</si>
  <si>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</si>
  <si>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</si>
  <si>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</si>
  <si>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</si>
  <si>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</si>
  <si>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</si>
  <si>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</si>
  <si>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</si>
  <si>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</si>
  <si>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</si>
  <si>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</si>
  <si>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</si>
  <si>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</si>
  <si>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</si>
  <si>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</si>
  <si>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</si>
  <si>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</si>
  <si>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</si>
  <si>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</si>
  <si>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</si>
  <si>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</si>
  <si>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</si>
  <si>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</si>
  <si>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</si>
  <si>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</si>
  <si>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</si>
  <si>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</si>
  <si>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</si>
  <si>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</si>
  <si>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</si>
  <si>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</si>
  <si>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</si>
  <si>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</si>
  <si>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</si>
  <si>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</si>
  <si>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</si>
  <si>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</si>
  <si>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</si>
  <si>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</si>
  <si>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</si>
  <si>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</si>
  <si>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</si>
  <si>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</si>
  <si>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</si>
  <si>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</si>
  <si>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</si>
  <si>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</si>
  <si>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</si>
  <si>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</si>
  <si>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</si>
  <si>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</si>
  <si>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</si>
  <si>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</si>
  <si>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</si>
  <si>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</si>
  <si>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</si>
  <si>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</si>
  <si>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</si>
  <si>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</si>
  <si>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</si>
  <si>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</si>
  <si>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</si>
  <si>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</si>
  <si>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</si>
  <si>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</si>
  <si>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</si>
  <si>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</si>
  <si>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</si>
  <si>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</si>
  <si>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</si>
  <si>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</si>
  <si>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</si>
  <si>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</si>
  <si>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</si>
  <si>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</si>
  <si>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</si>
  <si>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</si>
  <si>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</si>
  <si>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</si>
  <si>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</si>
  <si>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</si>
  <si>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</si>
  <si>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</si>
  <si>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</si>
  <si>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</si>
  <si>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</si>
  <si>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</si>
  <si>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</si>
  <si>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</si>
  <si>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</si>
  <si>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</si>
  <si>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</si>
  <si>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</si>
  <si>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</si>
  <si>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</si>
  <si>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</si>
  <si>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</si>
  <si>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</si>
  <si>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</si>
  <si>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</si>
  <si>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</si>
  <si>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</si>
  <si>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</si>
  <si>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</si>
  <si>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</si>
  <si>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</si>
  <si>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</si>
  <si>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</si>
  <si>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</si>
  <si>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</si>
  <si>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</si>
  <si>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</si>
  <si>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</si>
  <si>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</si>
  <si>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</si>
  <si>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</si>
  <si>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</si>
  <si>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</si>
  <si>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</si>
  <si>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</si>
  <si>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</si>
  <si>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</si>
  <si>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</si>
  <si>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</si>
  <si>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</si>
  <si>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</si>
  <si>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</si>
  <si>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</si>
  <si>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</si>
  <si>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</si>
  <si>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</si>
  <si>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</si>
  <si>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</si>
  <si>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</si>
  <si>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</si>
  <si>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</si>
  <si>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</si>
  <si>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</si>
  <si>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</si>
  <si>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</si>
  <si>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</si>
  <si>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</si>
  <si>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</si>
  <si>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</si>
  <si>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</si>
  <si>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</si>
  <si>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</si>
  <si>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</si>
  <si>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</si>
  <si>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</si>
  <si>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</si>
  <si>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</si>
  <si>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</si>
  <si>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</si>
  <si>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</si>
  <si>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</si>
  <si>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</si>
  <si>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</si>
  <si>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</si>
  <si>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</si>
  <si>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</si>
  <si>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</si>
  <si>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</si>
  <si>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</si>
  <si>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</si>
  <si>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</si>
  <si>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</si>
  <si>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</si>
  <si>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</si>
  <si>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</si>
  <si>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</si>
  <si>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</si>
  <si>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</si>
  <si>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</si>
  <si>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</si>
  <si>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</si>
  <si>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</si>
  <si>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</si>
  <si>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</si>
  <si>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</si>
  <si>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</si>
  <si>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</si>
  <si>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</si>
  <si>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</si>
  <si>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</si>
  <si>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</si>
  <si>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</si>
  <si>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</si>
  <si>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</si>
  <si>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</si>
  <si>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</si>
  <si>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</si>
  <si>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</si>
  <si>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</si>
  <si>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</si>
  <si>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</si>
  <si>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</si>
  <si>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</si>
  <si>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</si>
  <si>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</si>
  <si>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</si>
  <si>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</si>
  <si>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</si>
  <si>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</si>
  <si>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</si>
  <si>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</si>
  <si>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</si>
  <si>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</si>
  <si>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</si>
  <si>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</si>
  <si>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</si>
  <si>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</si>
  <si>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</si>
  <si>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</si>
  <si>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</si>
  <si>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</si>
  <si>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</si>
  <si>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</si>
  <si>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</si>
  <si>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</si>
  <si>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</si>
  <si>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</si>
  <si>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</si>
  <si>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</si>
  <si>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</si>
  <si>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</si>
  <si>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</si>
  <si>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</si>
  <si>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</si>
  <si>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</si>
  <si>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</si>
  <si>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</si>
  <si>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</si>
  <si>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</si>
  <si>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</si>
  <si>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</si>
  <si>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</si>
  <si>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</si>
  <si>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</si>
  <si>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</si>
  <si>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</si>
  <si>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</si>
  <si>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</si>
  <si>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</si>
  <si>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</si>
  <si>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</si>
  <si>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</si>
  <si>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</si>
  <si>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</si>
  <si>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</si>
  <si>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</si>
  <si>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</si>
  <si>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</si>
  <si>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</si>
  <si>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</si>
  <si>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</si>
  <si>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</si>
  <si>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</si>
  <si>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</si>
  <si>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</si>
  <si>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</si>
  <si>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</si>
  <si>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</si>
  <si>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</si>
  <si>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</si>
  <si>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</si>
  <si>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</si>
  <si>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</si>
  <si>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</si>
  <si>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</si>
  <si>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</si>
  <si>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</si>
  <si>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</si>
  <si>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</si>
  <si>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</si>
  <si>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</si>
  <si>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</si>
  <si>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</si>
  <si>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</si>
  <si>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</si>
  <si>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</si>
  <si>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</si>
  <si>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</si>
  <si>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</si>
  <si>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</si>
  <si>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</si>
  <si>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</si>
  <si>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</si>
  <si>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</si>
  <si>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</si>
  <si>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</si>
  <si>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</si>
  <si>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</si>
  <si>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</si>
  <si>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</si>
  <si>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</si>
  <si>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</si>
  <si>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</si>
  <si>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</si>
  <si>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</si>
  <si>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</si>
  <si>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</si>
  <si>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</si>
  <si>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</si>
  <si>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</si>
  <si>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</si>
  <si>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</si>
  <si>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</si>
  <si>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</si>
  <si>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</si>
  <si>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</si>
  <si>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</si>
  <si>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</si>
  <si>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</si>
  <si>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</si>
  <si>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</si>
  <si>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</si>
  <si>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</si>
  <si>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</si>
  <si>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</si>
  <si>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</si>
  <si>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</si>
  <si>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</si>
  <si>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</si>
  <si>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</si>
  <si>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</si>
  <si>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</si>
  <si>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</si>
  <si>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</si>
  <si>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</si>
  <si>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</si>
  <si>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</si>
  <si>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</si>
  <si>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</si>
  <si>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</si>
  <si>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</si>
  <si>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</si>
  <si>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</si>
  <si>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</si>
  <si>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</si>
  <si>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</si>
  <si>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</si>
  <si>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</si>
  <si>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</si>
  <si>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</si>
  <si>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</si>
  <si>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</si>
  <si>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</si>
  <si>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</si>
  <si>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</si>
  <si>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</si>
  <si>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</si>
  <si>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</si>
  <si>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</si>
  <si>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</si>
  <si>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</si>
  <si>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</si>
  <si>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</si>
  <si>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</si>
  <si>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</si>
  <si>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</si>
  <si>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</si>
  <si>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</si>
  <si>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</si>
  <si>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</si>
  <si>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</si>
  <si>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</si>
  <si>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</si>
  <si>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</si>
  <si>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</si>
  <si>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</si>
  <si>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</si>
  <si>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</si>
  <si>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</si>
  <si>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</si>
  <si>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</si>
  <si>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</si>
  <si>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</si>
  <si>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</si>
  <si>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</si>
  <si>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</si>
  <si>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</si>
  <si>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</si>
  <si>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</si>
  <si>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</si>
  <si>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</si>
  <si>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</si>
  <si>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</si>
  <si>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</si>
  <si>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</si>
  <si>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</si>
  <si>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</si>
  <si>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</si>
  <si>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</si>
  <si>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</si>
  <si>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</si>
  <si>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</si>
  <si>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</si>
  <si>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</si>
  <si>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</si>
  <si>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</si>
  <si>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</si>
  <si>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</si>
  <si>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</si>
  <si>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</si>
  <si>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</si>
  <si>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</si>
  <si>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</si>
  <si>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</si>
  <si>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</si>
  <si>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</si>
  <si>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</si>
  <si>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</si>
  <si>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</si>
  <si>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</si>
  <si>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</si>
  <si>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</si>
  <si>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</si>
  <si>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</si>
  <si>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</si>
  <si>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</si>
  <si>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</si>
  <si>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</si>
  <si>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</si>
  <si>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</si>
  <si>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</si>
  <si>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</si>
  <si>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</si>
  <si>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</si>
  <si>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</si>
  <si>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</si>
  <si>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</si>
  <si>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</si>
  <si>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</si>
  <si>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</si>
  <si>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</si>
  <si>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</si>
  <si>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</si>
  <si>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</si>
  <si>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</si>
  <si>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</si>
  <si>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</si>
  <si>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</si>
  <si>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</si>
  <si>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</si>
  <si>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</si>
  <si>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</si>
  <si>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</si>
  <si>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</si>
  <si>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</si>
  <si>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</si>
  <si>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</si>
  <si>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</si>
  <si>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</si>
  <si>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</si>
  <si>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</si>
  <si>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</si>
  <si>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</si>
  <si>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</si>
  <si>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</si>
  <si>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</si>
  <si>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</si>
  <si>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</si>
  <si>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</si>
  <si>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</si>
  <si>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</si>
  <si>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</si>
  <si>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</si>
  <si>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</si>
  <si>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</si>
  <si>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</si>
  <si>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</si>
  <si>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</si>
  <si>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</si>
  <si>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</si>
  <si>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</si>
  <si>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</si>
  <si>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</si>
  <si>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</si>
  <si>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</si>
  <si>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</si>
  <si>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</si>
  <si>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</si>
  <si>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</si>
  <si>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</si>
  <si>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</si>
  <si>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</si>
  <si>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</si>
  <si>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</si>
  <si>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</si>
  <si>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</si>
  <si>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</si>
  <si>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</si>
  <si>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</si>
  <si>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</si>
  <si>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</si>
  <si>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</si>
  <si>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</si>
  <si>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</si>
  <si>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</si>
  <si>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</si>
  <si>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</si>
  <si>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</si>
  <si>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</si>
  <si>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</si>
  <si>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</si>
  <si>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</si>
  <si>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</si>
  <si>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</si>
  <si>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</si>
  <si>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</si>
  <si>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</si>
  <si>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</si>
  <si>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</si>
  <si>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</si>
  <si>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</si>
  <si>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</si>
  <si>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</si>
  <si>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</si>
  <si>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</si>
  <si>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</si>
  <si>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</si>
  <si>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</si>
  <si>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</si>
  <si>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</si>
  <si>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</si>
  <si>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</si>
  <si>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</si>
  <si>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</si>
  <si>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</si>
  <si>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</si>
  <si>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</si>
  <si>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</si>
  <si>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</si>
  <si>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</si>
  <si>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</si>
  <si>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</si>
  <si>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</si>
  <si>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</si>
  <si>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</si>
  <si>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</si>
  <si>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</si>
  <si>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</si>
  <si>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</si>
  <si>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</si>
  <si>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</si>
  <si>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</si>
  <si>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</si>
  <si>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</si>
  <si>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</si>
  <si>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</si>
  <si>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</si>
  <si>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</si>
  <si>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</si>
  <si>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</si>
  <si>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</si>
  <si>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</si>
  <si>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</si>
  <si>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</si>
  <si>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</si>
  <si>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</si>
  <si>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</si>
  <si>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</si>
  <si>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</si>
  <si>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</si>
  <si>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</si>
  <si>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</si>
  <si>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</si>
  <si>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</si>
  <si>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</si>
  <si>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</si>
  <si>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</si>
  <si>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</si>
  <si>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</si>
  <si>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</si>
  <si>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</si>
  <si>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</si>
  <si>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</si>
  <si>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</si>
  <si>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</si>
  <si>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</si>
  <si>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</si>
  <si>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</si>
  <si>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</si>
  <si>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</si>
  <si>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</si>
  <si>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</si>
  <si>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</si>
  <si>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</si>
  <si>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</si>
  <si>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</si>
  <si>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</si>
  <si>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</si>
  <si>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</si>
  <si>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</si>
  <si>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</si>
  <si>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</si>
  <si>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</si>
  <si>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</si>
  <si>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</si>
  <si>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</si>
  <si>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</si>
  <si>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</si>
  <si>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</si>
  <si>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</si>
  <si>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</si>
  <si>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</si>
  <si>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</si>
  <si>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</si>
  <si>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</si>
  <si>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</si>
  <si>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</si>
  <si>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</si>
  <si>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</si>
  <si>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</si>
  <si>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</si>
  <si>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</si>
  <si>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</si>
  <si>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</si>
  <si>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</si>
  <si>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</si>
  <si>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</si>
  <si>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</si>
  <si>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</si>
  <si>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</si>
  <si>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</si>
  <si>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</si>
  <si>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</si>
  <si>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</si>
  <si>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</si>
  <si>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</si>
  <si>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</si>
  <si>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</si>
  <si>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</si>
  <si>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</si>
  <si>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</si>
  <si>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</si>
  <si>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</si>
  <si>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</si>
  <si>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</si>
  <si>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</si>
  <si>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</si>
  <si>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</si>
  <si>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</si>
  <si>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</si>
  <si>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</si>
  <si>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</si>
  <si>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</si>
  <si>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</si>
  <si>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</si>
  <si>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</si>
  <si>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</si>
  <si>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</si>
  <si>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</si>
  <si>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</si>
  <si>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</si>
  <si>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</si>
  <si>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</si>
  <si>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</si>
  <si>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</si>
  <si>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</si>
  <si>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</si>
  <si>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</si>
  <si>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</si>
  <si>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</si>
  <si>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</si>
  <si>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</si>
  <si>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</si>
  <si>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</si>
  <si>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</si>
  <si>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</si>
  <si>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</si>
  <si>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</si>
  <si>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</si>
  <si>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</si>
  <si>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</si>
  <si>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</si>
  <si>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</si>
  <si>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</si>
  <si>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</si>
  <si>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</si>
  <si>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</si>
  <si>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</si>
  <si>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</si>
  <si>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</si>
  <si>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</si>
  <si>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</si>
  <si>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</si>
  <si>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</si>
  <si>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</si>
  <si>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</si>
  <si>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</si>
  <si>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</si>
  <si>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</si>
  <si>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</si>
  <si>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</si>
  <si>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</si>
  <si>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</si>
  <si>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</si>
  <si>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</si>
  <si>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</si>
  <si>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</si>
  <si>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</si>
  <si>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</si>
  <si>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</si>
  <si>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</si>
  <si>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</si>
  <si>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</si>
  <si>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</si>
  <si>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</si>
  <si>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</si>
  <si>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</si>
  <si>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</si>
  <si>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</si>
  <si>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</si>
  <si>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</si>
  <si>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</si>
  <si>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</si>
  <si>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</si>
  <si>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</si>
  <si>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</si>
  <si>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</si>
  <si>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</si>
  <si>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</si>
  <si>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</si>
  <si>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</si>
  <si>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</si>
  <si>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</si>
  <si>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</si>
  <si>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</si>
  <si>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</si>
  <si>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</si>
  <si>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</si>
  <si>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</si>
  <si>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</si>
  <si>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</si>
  <si>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</si>
  <si>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</si>
  <si>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</si>
  <si>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</si>
  <si>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</si>
  <si>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</si>
  <si>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</si>
  <si>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</si>
  <si>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</si>
  <si>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</si>
  <si>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</si>
  <si>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</si>
  <si>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</si>
  <si>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</si>
  <si>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</si>
  <si>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</si>
  <si>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</si>
  <si>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</si>
  <si>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</si>
  <si>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</si>
  <si>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</si>
  <si>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</si>
  <si>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</si>
  <si>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</si>
  <si>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</si>
  <si>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</si>
  <si>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</si>
  <si>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</si>
  <si>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</si>
  <si>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</si>
  <si>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</si>
  <si>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</si>
  <si>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</si>
  <si>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</si>
  <si>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</si>
  <si>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</si>
  <si>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</si>
  <si>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</si>
  <si>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</si>
  <si>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</si>
  <si>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</si>
  <si>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</si>
  <si>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</si>
  <si>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</si>
  <si>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</si>
  <si>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</si>
  <si>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</si>
  <si>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</si>
  <si>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</si>
  <si>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</si>
  <si>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</si>
  <si>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</si>
  <si>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</si>
  <si>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</si>
  <si>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</si>
  <si>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</si>
  <si>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</si>
  <si>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</si>
  <si>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</si>
  <si>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</si>
  <si>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</si>
  <si>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</si>
  <si>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</si>
  <si>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</si>
  <si>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</si>
  <si>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</si>
  <si>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</si>
  <si>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</si>
  <si>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</si>
  <si>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</si>
  <si>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</si>
  <si>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</si>
  <si>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</si>
  <si>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</si>
  <si>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</si>
  <si>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</si>
  <si>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</si>
  <si>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</si>
  <si>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</si>
  <si>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</si>
  <si>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</si>
  <si>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</si>
  <si>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</si>
  <si>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</si>
  <si>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</si>
  <si>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</si>
  <si>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</si>
  <si>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</si>
  <si>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</si>
  <si>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</si>
  <si>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</si>
  <si>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</si>
  <si>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</si>
  <si>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</si>
  <si>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</si>
  <si>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</si>
  <si>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</si>
  <si>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</si>
  <si>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</si>
  <si>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</si>
  <si>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</si>
  <si>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</si>
  <si>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</si>
  <si>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</si>
  <si>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</si>
  <si>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</si>
  <si>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</si>
  <si>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</si>
  <si>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</si>
  <si>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</si>
  <si>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</si>
  <si>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</si>
  <si>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</si>
  <si>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</si>
  <si>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</si>
  <si>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</si>
  <si>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</si>
  <si>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</si>
  <si>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</si>
  <si>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</si>
  <si>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</si>
  <si>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</si>
  <si>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</si>
  <si>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</si>
  <si>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</si>
  <si>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</si>
  <si>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</si>
  <si>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</si>
  <si>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</si>
  <si>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</si>
  <si>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</si>
  <si>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</si>
  <si>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</si>
  <si>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</si>
  <si>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</si>
  <si>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</si>
  <si>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</si>
  <si>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</si>
  <si>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</si>
  <si>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</si>
  <si>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</si>
  <si>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</si>
  <si>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</si>
  <si>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</si>
  <si>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</si>
  <si>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</si>
  <si>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</si>
  <si>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</si>
  <si>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</si>
  <si>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</si>
  <si>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</si>
  <si>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</si>
  <si>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</si>
  <si>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</si>
  <si>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</si>
  <si>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</si>
  <si>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</si>
  <si>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</si>
  <si>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</si>
  <si>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</si>
  <si>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</si>
  <si>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</si>
  <si>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</si>
  <si>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</si>
  <si>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</si>
  <si>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</si>
  <si>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</si>
  <si>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</si>
  <si>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</si>
  <si>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</si>
  <si>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</si>
  <si>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</si>
  <si>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</si>
  <si>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</si>
  <si>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</si>
  <si>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</si>
  <si>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</si>
  <si>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</si>
  <si>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</si>
  <si>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</si>
  <si>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</si>
  <si>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</si>
  <si>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</si>
  <si>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</si>
  <si>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</si>
  <si>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</si>
  <si>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</si>
  <si>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</si>
  <si>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</si>
  <si>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</si>
  <si>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</si>
  <si>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</si>
  <si>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</si>
  <si>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</si>
  <si>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</si>
  <si>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</si>
  <si>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</si>
  <si>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</si>
  <si>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</si>
  <si>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</si>
  <si>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</si>
  <si>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</si>
  <si>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</si>
  <si>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</si>
  <si>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</si>
  <si>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</si>
  <si>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</si>
  <si>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</si>
  <si>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</si>
  <si>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</si>
  <si>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</si>
  <si>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</si>
  <si>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</si>
  <si>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</si>
  <si>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</si>
  <si>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</si>
  <si>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</si>
  <si>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</si>
  <si>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</si>
  <si>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</si>
  <si>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</si>
  <si>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</si>
  <si>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</si>
  <si>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</si>
  <si>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</si>
  <si>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</si>
  <si>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</si>
  <si>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</si>
  <si>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</si>
  <si>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</si>
  <si>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</si>
  <si>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</si>
  <si>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</si>
  <si>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</si>
  <si>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</si>
  <si>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</si>
  <si>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</si>
  <si>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</si>
  <si>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</si>
  <si>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</si>
  <si>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</si>
  <si>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</si>
  <si>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</si>
  <si>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</si>
  <si>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</si>
  <si>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</si>
  <si>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</si>
  <si>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</si>
  <si>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</si>
  <si>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</si>
  <si>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</si>
  <si>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</si>
  <si>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</si>
  <si>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</si>
  <si>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</si>
  <si>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</si>
  <si>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</si>
  <si>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</si>
  <si>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</si>
  <si>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</si>
  <si>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</si>
  <si>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</si>
  <si>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</si>
  <si>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</si>
  <si>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</si>
  <si>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</si>
  <si>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</si>
  <si>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</si>
  <si>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</si>
  <si>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</si>
  <si>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</si>
  <si>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</si>
  <si>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</si>
  <si>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</si>
  <si>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</si>
  <si>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</si>
  <si>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</si>
  <si>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</si>
  <si>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</si>
  <si>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</si>
  <si>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</si>
  <si>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</si>
  <si>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</si>
  <si>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</si>
  <si>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</si>
  <si>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</si>
  <si>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</si>
  <si>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</si>
  <si>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</si>
  <si>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</si>
  <si>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</si>
  <si>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</si>
  <si>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</si>
  <si>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</si>
  <si>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</si>
  <si>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</si>
  <si>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</si>
  <si>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</si>
  <si>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</si>
  <si>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</si>
  <si>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</si>
  <si>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</si>
  <si>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</si>
  <si>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</si>
  <si>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</si>
  <si>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</si>
  <si>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</si>
  <si>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</si>
  <si>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</si>
  <si>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</si>
  <si>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</si>
  <si>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</si>
  <si>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</si>
  <si>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</si>
  <si>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</si>
  <si>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</si>
  <si>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</si>
  <si>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</si>
  <si>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</si>
  <si>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</si>
  <si>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</si>
  <si>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</si>
  <si>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</si>
  <si>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</si>
  <si>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</si>
  <si>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</si>
  <si>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</si>
  <si>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</si>
  <si>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</si>
  <si>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</si>
  <si>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</si>
  <si>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</si>
  <si>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</si>
  <si>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</si>
  <si>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</si>
  <si>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</si>
  <si>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</si>
  <si>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</si>
  <si>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</si>
  <si>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</si>
  <si>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</si>
  <si>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</si>
  <si>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</si>
  <si>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</si>
  <si>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</si>
  <si>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</si>
  <si>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</si>
  <si>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</si>
  <si>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</si>
  <si>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</si>
  <si>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</si>
  <si>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</si>
  <si>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</si>
  <si>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</si>
  <si>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</si>
  <si>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</si>
  <si>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</si>
  <si>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</si>
  <si>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</si>
  <si>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</si>
  <si>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</si>
  <si>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</si>
  <si>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</si>
  <si>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</si>
  <si>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</si>
  <si>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</si>
  <si>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</si>
  <si>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</si>
  <si>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</si>
  <si>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</si>
  <si>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</si>
  <si>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</si>
  <si>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</si>
  <si>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</si>
  <si>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</si>
  <si>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</si>
  <si>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</si>
  <si>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</si>
  <si>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</si>
  <si>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</si>
  <si>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</si>
  <si>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</si>
  <si>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</si>
  <si>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</si>
  <si>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</si>
  <si>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</si>
  <si>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</si>
  <si>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</si>
  <si>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</si>
  <si>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</si>
  <si>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</si>
  <si>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</si>
  <si>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</si>
  <si>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</si>
  <si>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</si>
  <si>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</si>
  <si>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</si>
  <si>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</si>
  <si>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</si>
  <si>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</si>
  <si>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</si>
  <si>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</si>
  <si>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</si>
  <si>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</si>
  <si>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</si>
  <si>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</si>
  <si>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</si>
  <si>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</si>
  <si>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</si>
  <si>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</si>
  <si>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</si>
  <si>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</si>
  <si>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</si>
  <si>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</si>
  <si>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</si>
  <si>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</si>
  <si>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</si>
  <si>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</si>
  <si>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</si>
  <si>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</si>
  <si>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</si>
  <si>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</si>
  <si>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</si>
  <si>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</si>
  <si>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</si>
  <si>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</si>
  <si>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</si>
  <si>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</si>
  <si>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</si>
  <si>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</si>
  <si>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</si>
  <si>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</si>
  <si>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</si>
  <si>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</si>
  <si>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</si>
  <si>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</si>
  <si>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</si>
  <si>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</si>
  <si>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</si>
  <si>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</si>
  <si>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</si>
  <si>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</si>
  <si>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</si>
  <si>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</si>
  <si>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</si>
  <si>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</si>
  <si>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</si>
  <si>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</si>
  <si>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</si>
  <si>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</si>
  <si>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</si>
  <si>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</si>
  <si>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</si>
  <si>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</si>
  <si>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</si>
  <si>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</si>
  <si>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</si>
  <si>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</si>
  <si>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</si>
  <si>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</si>
  <si>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</si>
  <si>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</si>
  <si>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</si>
  <si>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</si>
  <si>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</si>
  <si>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</si>
  <si>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</si>
  <si>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</si>
  <si>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</si>
  <si>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</si>
  <si>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</si>
  <si>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</si>
  <si>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</si>
  <si>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</si>
  <si>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</si>
  <si>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</si>
  <si>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</si>
  <si>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</si>
  <si>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</si>
  <si>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</si>
  <si>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</si>
  <si>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</si>
  <si>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</si>
  <si>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</si>
  <si>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</si>
  <si>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</si>
  <si>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</si>
  <si>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</si>
  <si>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</si>
  <si>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</si>
  <si>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</si>
  <si>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</si>
  <si>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</si>
  <si>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</si>
  <si>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</si>
  <si>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</si>
  <si>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</si>
  <si>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</si>
  <si>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</si>
  <si>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</si>
  <si>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</si>
  <si>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</si>
  <si>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</si>
  <si>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</si>
  <si>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</si>
  <si>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</si>
  <si>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</si>
  <si>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</si>
  <si>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</si>
  <si>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</si>
  <si>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</si>
  <si>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</si>
  <si>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</si>
  <si>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</si>
  <si>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</si>
  <si>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</si>
  <si>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</si>
  <si>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</si>
  <si>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</si>
  <si>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</si>
  <si>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</si>
  <si>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</si>
  <si>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</si>
  <si>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</si>
  <si>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</si>
  <si>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</si>
  <si>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</si>
  <si>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</si>
  <si>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</si>
  <si>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</si>
  <si>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</si>
  <si>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</si>
  <si>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</si>
  <si>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</si>
  <si>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</si>
  <si>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</si>
  <si>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</si>
  <si>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</si>
  <si>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</si>
  <si>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</si>
  <si>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</si>
  <si>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</si>
  <si>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</si>
  <si>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</si>
  <si>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</si>
  <si>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</si>
  <si>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</si>
  <si>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</si>
  <si>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</si>
  <si>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</si>
  <si>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</si>
  <si>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</si>
  <si>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</si>
  <si>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</si>
  <si>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</si>
  <si>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</si>
  <si>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</si>
  <si>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</si>
  <si>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</si>
  <si>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</si>
  <si>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</si>
  <si>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</si>
  <si>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</si>
  <si>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</si>
  <si>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</si>
  <si>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</si>
  <si>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</si>
  <si>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</si>
  <si>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</si>
  <si>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</si>
  <si>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</si>
  <si>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</si>
  <si>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</si>
  <si>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</si>
  <si>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</si>
  <si>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</si>
  <si>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</si>
  <si>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</si>
  <si>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</si>
  <si>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</si>
  <si>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</si>
  <si>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</si>
  <si>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</si>
  <si>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</si>
  <si>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</si>
  <si>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</si>
  <si>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</si>
  <si>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</si>
  <si>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</si>
  <si>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</si>
  <si>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</si>
  <si>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</si>
  <si>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</si>
  <si>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</si>
  <si>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</si>
  <si>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</si>
  <si>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</si>
  <si>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</si>
  <si>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</si>
  <si>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</si>
  <si>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</si>
  <si>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</si>
  <si>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</si>
  <si>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</si>
  <si>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</si>
  <si>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</si>
  <si>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</si>
  <si>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</si>
  <si>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</si>
  <si>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</si>
  <si>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</si>
  <si>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</si>
  <si>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</si>
  <si>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</si>
  <si>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</si>
  <si>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</si>
  <si>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</si>
  <si>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</si>
  <si>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</si>
  <si>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</si>
  <si>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</si>
  <si>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</si>
  <si>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</si>
  <si>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</si>
  <si>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</si>
  <si>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</si>
  <si>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</si>
  <si>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</si>
  <si>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</si>
  <si>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</si>
  <si>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</si>
  <si>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</si>
  <si>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</si>
  <si>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</si>
  <si>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</si>
  <si>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</si>
  <si>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</si>
  <si>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</si>
  <si>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</si>
  <si>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</si>
  <si>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</si>
  <si>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</si>
  <si>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</si>
  <si>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</si>
  <si>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</si>
  <si>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</si>
  <si>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</si>
  <si>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</si>
  <si>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</si>
  <si>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</si>
  <si>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</si>
  <si>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</si>
  <si>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</si>
  <si>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</si>
  <si>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</si>
  <si>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</si>
  <si>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</si>
  <si>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</si>
  <si>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</si>
  <si>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</si>
  <si>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</si>
  <si>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</si>
  <si>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</si>
  <si>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</si>
  <si>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</si>
  <si>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</si>
  <si>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</si>
  <si>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</si>
  <si>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</si>
  <si>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</si>
  <si>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</si>
  <si>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</si>
  <si>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</si>
  <si>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</si>
  <si>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</si>
  <si>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</si>
  <si>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</si>
  <si>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</si>
  <si>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</si>
  <si>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</si>
  <si>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</si>
  <si>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</si>
  <si>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</si>
  <si>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</si>
  <si>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</si>
  <si>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</si>
  <si>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</si>
  <si>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</si>
  <si>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</si>
  <si>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</si>
  <si>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</si>
  <si>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</si>
  <si>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</si>
  <si>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</si>
  <si>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</si>
  <si>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</si>
  <si>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</si>
  <si>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</si>
  <si>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</si>
  <si>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</si>
  <si>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</si>
  <si>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</si>
  <si>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</si>
  <si>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</si>
  <si>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</si>
  <si>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</si>
  <si>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</si>
  <si>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</si>
  <si>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</si>
  <si>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</si>
  <si>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</si>
  <si>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</si>
  <si>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</si>
  <si>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</si>
  <si>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</si>
  <si>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</si>
  <si>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</si>
  <si>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</si>
  <si>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</si>
  <si>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</si>
  <si>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</si>
  <si>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</si>
  <si>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</si>
  <si>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</si>
  <si>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</si>
  <si>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</si>
  <si>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</si>
  <si>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</si>
  <si>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</si>
  <si>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</si>
  <si>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</si>
  <si>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</si>
  <si>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</si>
  <si>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</si>
  <si>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</si>
  <si>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</si>
  <si>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</si>
  <si>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</si>
  <si>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</si>
  <si>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</si>
  <si>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</si>
  <si>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</si>
  <si>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</si>
  <si>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</si>
  <si>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</si>
  <si>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</si>
  <si>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</si>
  <si>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</si>
  <si>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</si>
  <si>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</si>
  <si>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</si>
  <si>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</si>
  <si>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</si>
  <si>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</si>
  <si>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</si>
  <si>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</si>
  <si>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</si>
  <si>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</si>
  <si>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</si>
  <si>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</si>
  <si>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</si>
  <si>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</si>
  <si>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</si>
  <si>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</si>
  <si>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</si>
  <si>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</si>
  <si>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</si>
  <si>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</si>
  <si>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</si>
  <si>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</si>
  <si>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</si>
  <si>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</si>
  <si>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</si>
  <si>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</si>
  <si>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</si>
  <si>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</si>
  <si>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</si>
  <si>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</si>
  <si>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</si>
  <si>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</si>
  <si>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</si>
  <si>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</si>
  <si>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</si>
  <si>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</si>
  <si>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</si>
  <si>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</si>
  <si>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</si>
  <si>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</si>
  <si>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</si>
  <si>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</si>
  <si>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</si>
  <si>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</si>
  <si>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</si>
  <si>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</si>
  <si>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</si>
  <si>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</si>
  <si>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</si>
  <si>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</si>
  <si>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</si>
  <si>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</si>
  <si>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</si>
  <si>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</si>
  <si>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</si>
  <si>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</si>
  <si>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</si>
  <si>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</si>
  <si>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</si>
  <si>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</si>
  <si>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</si>
  <si>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</si>
  <si>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</si>
  <si>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</si>
  <si>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</si>
  <si>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</si>
  <si>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</si>
  <si>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</si>
  <si>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</si>
  <si>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</si>
  <si>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</si>
  <si>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</si>
  <si>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</si>
  <si>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</si>
  <si>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</si>
  <si>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</si>
  <si>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</si>
  <si>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</si>
  <si>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</si>
  <si>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</si>
  <si>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</si>
  <si>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</si>
  <si>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</si>
  <si>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</si>
  <si>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</si>
  <si>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</si>
  <si>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</si>
  <si>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</si>
  <si>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</si>
  <si>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</si>
  <si>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</si>
  <si>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</si>
  <si>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</si>
  <si>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</si>
  <si>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</si>
  <si>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</si>
  <si>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</si>
  <si>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</si>
  <si>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</si>
  <si>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</si>
  <si>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</si>
  <si>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</si>
  <si>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</si>
  <si>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</si>
  <si>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</si>
  <si>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</si>
  <si>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</si>
  <si>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</si>
  <si>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</si>
  <si>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</si>
  <si>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</si>
  <si>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</si>
  <si>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</si>
  <si>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</si>
  <si>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</si>
  <si>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</si>
  <si>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</si>
  <si>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</si>
  <si>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</si>
  <si>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</si>
  <si>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</si>
  <si>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</si>
  <si>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</si>
  <si>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</si>
  <si>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</si>
  <si>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</si>
  <si>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</si>
  <si>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</si>
  <si>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</si>
  <si>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</si>
  <si>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</si>
  <si>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</si>
  <si>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</si>
  <si>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</si>
  <si>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</si>
  <si>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</si>
  <si>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</si>
  <si>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</si>
  <si>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</si>
  <si>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</si>
  <si>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</si>
  <si>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</si>
  <si>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</si>
  <si>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</si>
  <si>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</si>
  <si>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</si>
  <si>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</si>
  <si>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</si>
  <si>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</si>
  <si>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</si>
  <si>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</si>
  <si>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</si>
  <si>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</si>
  <si>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</si>
  <si>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</si>
  <si>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</si>
  <si>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</si>
  <si>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</si>
  <si>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</si>
  <si>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</si>
  <si>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</si>
  <si>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</si>
  <si>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</si>
  <si>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</si>
  <si>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</si>
  <si>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</si>
  <si>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</si>
  <si>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</si>
  <si>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</si>
  <si>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</si>
  <si>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</si>
  <si>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</si>
  <si>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</si>
  <si>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</si>
  <si>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</si>
  <si>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</si>
  <si>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</si>
  <si>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</si>
  <si>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</si>
  <si>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</si>
  <si>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</si>
  <si>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</si>
  <si>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</si>
  <si>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MACON</t>
  </si>
  <si>
    <t>X</t>
  </si>
  <si>
    <t>500 NORTH MAIN STREET, P.O. BOX 440</t>
  </si>
  <si>
    <t>ARGENTA</t>
  </si>
  <si>
    <t>MR. DAMIAN JONES</t>
  </si>
  <si>
    <t>djones@argenta-oreana.org</t>
  </si>
  <si>
    <t>217-795-2313</t>
  </si>
  <si>
    <t>217-795-2174</t>
  </si>
  <si>
    <t>FLOYD &amp; ASSOCIATES, CPAs</t>
  </si>
  <si>
    <t>JULIE M FLOYD, CPA</t>
  </si>
  <si>
    <t>910 STATE HIGHWAY 54 EAST</t>
  </si>
  <si>
    <t>CLINTON</t>
  </si>
  <si>
    <t>IL</t>
  </si>
  <si>
    <t>217-935-8871</t>
  </si>
  <si>
    <t>217-935-5711</t>
  </si>
  <si>
    <t>JULIE.FLOYD@FRONTIER.COM</t>
  </si>
  <si>
    <t>Refunding Bonds, Series 2012</t>
  </si>
  <si>
    <t>Working Cash Bonds, Series 2016</t>
  </si>
  <si>
    <t>General Obligation Bonds, Series 2017A</t>
  </si>
  <si>
    <t>2,3</t>
  </si>
  <si>
    <t>x</t>
  </si>
  <si>
    <t>Richland Transfer Academy</t>
  </si>
  <si>
    <t>Energy Consortium</t>
  </si>
  <si>
    <t>District #61</t>
  </si>
  <si>
    <t>Macon-Piatt Special Education</t>
  </si>
  <si>
    <t>Heartland Technical Academy</t>
  </si>
  <si>
    <t>Maroa-Forsyth CUSD #2-Wrestling, Decatur Christian and Lutheran School-Soccer</t>
  </si>
  <si>
    <t>Tort-Risk Management-Purchased Services</t>
  </si>
  <si>
    <t>Decatur Memorial Hospital</t>
  </si>
  <si>
    <t>Page 10, Line 74</t>
  </si>
  <si>
    <t xml:space="preserve">   Education Fund</t>
  </si>
  <si>
    <t xml:space="preserve">     Other Food Payments</t>
  </si>
  <si>
    <t>Page 10, Line 81</t>
  </si>
  <si>
    <t xml:space="preserve">   </t>
  </si>
  <si>
    <t xml:space="preserve">     Beverage Machine Money</t>
  </si>
  <si>
    <t>Page 11, Line 107</t>
  </si>
  <si>
    <t xml:space="preserve">     Local-"Winnings"</t>
  </si>
  <si>
    <t xml:space="preserve">     Tournament Reimbursement</t>
  </si>
  <si>
    <t xml:space="preserve">     TRS Refund (Overpayment)</t>
  </si>
  <si>
    <t xml:space="preserve">     Other Local Revenue</t>
  </si>
  <si>
    <t xml:space="preserve">     Alternative Beverage</t>
  </si>
  <si>
    <t xml:space="preserve">     Heartland Grant</t>
  </si>
  <si>
    <t xml:space="preserve">   Operations &amp; Maintenance Fund</t>
  </si>
  <si>
    <t xml:space="preserve">     Building Rent</t>
  </si>
  <si>
    <t xml:space="preserve">     Parking Fees</t>
  </si>
  <si>
    <t xml:space="preserve">     Sale of Property</t>
  </si>
  <si>
    <t xml:space="preserve">     Insurance Claim - Storm Damage</t>
  </si>
  <si>
    <t xml:space="preserve">     CLOW Donation</t>
  </si>
  <si>
    <t>Page 12, Line 168</t>
  </si>
  <si>
    <t xml:space="preserve">     Library Grant</t>
  </si>
  <si>
    <t>Page 18, Line 171</t>
  </si>
  <si>
    <t xml:space="preserve">   Debt Service Fund</t>
  </si>
  <si>
    <t xml:space="preserve">     Bond fees </t>
  </si>
  <si>
    <t>Page 19, Line 237</t>
  </si>
  <si>
    <t xml:space="preserve">   Municipal Retirement/Social Security Fund</t>
  </si>
  <si>
    <t xml:space="preserve">     Playground Supervisor Benefits</t>
  </si>
  <si>
    <t>80-2550-300</t>
  </si>
  <si>
    <t>Argenta-Oreana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</si>
</sst>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 fontId="57" fillId="0" borderId="0" xfId="0" applyNumberFormat="1" applyFont="1"/>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G20" sqref="G2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2065</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2065</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39055001026</v>
      </c>
      <c r="B13" s="1990"/>
      <c r="C13" s="1990"/>
      <c r="D13" s="1990"/>
      <c r="E13" s="1990"/>
      <c r="F13" s="1990"/>
      <c r="G13" s="1990"/>
      <c r="H13" s="1991"/>
      <c r="I13" s="31"/>
      <c r="J13" s="30"/>
      <c r="K13" s="28"/>
      <c r="L13" s="30"/>
      <c r="M13" s="30"/>
      <c r="N13" s="30"/>
      <c r="O13" s="30"/>
      <c r="P13" s="30"/>
      <c r="Q13" s="30"/>
      <c r="R13" s="30"/>
      <c r="S13" s="30"/>
      <c r="T13" s="1994" t="s">
        <v>2072</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2064</v>
      </c>
      <c r="B15" s="1992"/>
      <c r="C15" s="1992"/>
      <c r="D15" s="1992"/>
      <c r="E15" s="1992"/>
      <c r="F15" s="1992"/>
      <c r="G15" s="1992"/>
      <c r="H15" s="1993"/>
      <c r="T15" s="1955" t="s">
        <v>2073</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2121</v>
      </c>
      <c r="B17" s="2017"/>
      <c r="C17" s="2017"/>
      <c r="D17" s="2017"/>
      <c r="E17" s="2017"/>
      <c r="F17" s="2017"/>
      <c r="G17" s="2017"/>
      <c r="H17" s="2018"/>
      <c r="T17" s="2004" t="s">
        <v>2074</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2066</v>
      </c>
      <c r="B19" s="1988"/>
      <c r="C19" s="1988"/>
      <c r="D19" s="1988"/>
      <c r="E19" s="1988"/>
      <c r="F19" s="1988"/>
      <c r="G19" s="1988"/>
      <c r="H19" s="1986"/>
      <c r="I19" s="30"/>
      <c r="J19" s="99"/>
      <c r="K19" s="40"/>
      <c r="L19" s="38"/>
      <c r="M19" s="112" t="s">
        <v>315</v>
      </c>
      <c r="P19" s="27"/>
      <c r="Q19" s="27"/>
      <c r="R19" s="27"/>
      <c r="S19" s="31"/>
      <c r="T19" s="1987" t="s">
        <v>2075</v>
      </c>
      <c r="U19" s="1985"/>
      <c r="V19" s="1985"/>
      <c r="W19" s="1986"/>
      <c r="X19" s="2002" t="s">
        <v>2076</v>
      </c>
      <c r="Y19" s="2003"/>
      <c r="Z19" s="2000">
        <v>61727</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2067</v>
      </c>
      <c r="B21" s="1985"/>
      <c r="C21" s="1985"/>
      <c r="D21" s="1985"/>
      <c r="E21" s="1985"/>
      <c r="F21" s="1985"/>
      <c r="G21" s="1985"/>
      <c r="H21" s="1986"/>
      <c r="I21" s="2010" t="s">
        <v>678</v>
      </c>
      <c r="J21" s="1973"/>
      <c r="K21" s="1973"/>
      <c r="L21" s="1973"/>
      <c r="M21" s="1973"/>
      <c r="N21" s="1973"/>
      <c r="O21" s="1973"/>
      <c r="P21" s="1973"/>
      <c r="Q21" s="1973"/>
      <c r="R21" s="1973"/>
      <c r="S21" s="1974"/>
      <c r="T21" s="1952" t="s">
        <v>2077</v>
      </c>
      <c r="U21" s="1953"/>
      <c r="V21" s="1953"/>
      <c r="W21" s="1953"/>
      <c r="X21" s="1966" t="s">
        <v>2078</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v>66.004384999999999</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62501</v>
      </c>
      <c r="B25" s="1985"/>
      <c r="C25" s="1985"/>
      <c r="D25" s="1985"/>
      <c r="E25" s="1985"/>
      <c r="F25" s="1985"/>
      <c r="G25" s="1985"/>
      <c r="H25" s="1986"/>
      <c r="I25" s="113"/>
      <c r="J25" s="2051"/>
      <c r="K25" s="2051"/>
      <c r="L25" s="2051"/>
      <c r="M25" s="2051"/>
      <c r="N25" s="2051"/>
      <c r="O25" s="2051"/>
      <c r="P25" s="2051"/>
      <c r="Q25" s="2051"/>
      <c r="R25" s="2051"/>
      <c r="S25" s="2052"/>
      <c r="T25" s="1944" t="s">
        <v>2079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2068</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2069</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2070</v>
      </c>
      <c r="B42" s="2034"/>
      <c r="C42" s="2035"/>
      <c r="D42" s="2048" t="s">
        <v>2071</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2072</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J33" sqref="J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133278355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2.46E-2</v>
      </c>
      <c r="E10" s="356" t="s">
        <v>1005</v>
      </c>
      <c r="F10" s="355">
        <v>5.0000000000000001E-3</v>
      </c>
      <c r="G10" s="356" t="s">
        <v>1005</v>
      </c>
      <c r="H10" s="355">
        <v>2E-3</v>
      </c>
      <c r="I10" s="356" t="s">
        <v>1006</v>
      </c>
      <c r="J10" s="1732">
        <f>ROUND(D10+F10+H10,5)</f>
        <v>3.1600000000000003E-2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8230545</v>
      </c>
      <c r="E16" s="356"/>
      <c r="F16" s="1733">
        <f>SUM('Acct Summary 7-8'!C17,'Acct Summary 7-8'!D17,'Acct Summary 7-8'!F17)</f>
        <v>8577853</v>
      </c>
      <c r="G16" s="356"/>
      <c r="H16" s="1733">
        <f>SUM(D16-F16)</f>
        <v>-347308</v>
      </c>
      <c r="I16" s="222"/>
      <c r="J16" s="1733">
        <f>SUM('Acct Summary 7-8'!C81,'Acct Summary 7-8'!D81,'Acct Summary 7-8'!F81,'Acct Summary 7-8'!I81)</f>
        <v>5663405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18392412.990000002</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11040000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Argenta-Oreana CUSD 1</v>
      </c>
      <c r="E7" s="391"/>
      <c r="G7" s="252"/>
      <c r="H7" s="387"/>
      <c r="I7" s="387"/>
      <c r="J7" s="387"/>
      <c r="K7" s="387"/>
      <c r="L7" s="329"/>
      <c r="M7" s="329"/>
      <c r="N7" s="329"/>
      <c r="O7" s="329"/>
      <c r="P7" s="329"/>
    </row>
    <row r="8" spans="1:18" ht="12.75" x14ac:dyDescent="0.2">
      <c r="A8" s="329"/>
      <c r="B8" s="329"/>
      <c r="C8" s="389" t="s">
        <v>1125</v>
      </c>
      <c r="D8" s="392">
        <f>COVER!A13</f>
        <v>39055001026</v>
      </c>
      <c r="E8" s="393"/>
      <c r="G8" s="329"/>
      <c r="H8" s="329"/>
      <c r="I8" s="329"/>
      <c r="J8" s="329"/>
      <c r="K8" s="329"/>
      <c r="L8" s="329"/>
      <c r="M8" s="329"/>
      <c r="N8" s="329"/>
      <c r="O8" s="329"/>
      <c r="P8" s="329"/>
    </row>
    <row r="9" spans="1:18" ht="12.75" x14ac:dyDescent="0.2">
      <c r="A9" s="329"/>
      <c r="B9" s="329"/>
      <c r="C9" s="389" t="s">
        <v>713</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5663405</v>
      </c>
      <c r="I12" s="404"/>
      <c r="J12" s="404"/>
      <c r="K12" s="405">
        <f>TRUNC((H12/H13*100000),5)/100000</f>
        <v>0.68809598869999999</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8230545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8577853</v>
      </c>
      <c r="I17" s="404"/>
      <c r="J17" s="416"/>
      <c r="K17" s="405">
        <f>TRUNC((H17/H18*100000),5)/100000</f>
        <v>1.0421974486000001</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8230545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13.936766500000001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5647983</v>
      </c>
      <c r="I24" s="422"/>
      <c r="J24" s="422"/>
      <c r="K24" s="423">
        <f>TRUNC(((H24/H25*100000)/100000),2)</f>
        <v>237.03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23827.369439999999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3579856.6153000002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11040000</v>
      </c>
      <c r="I32" s="420"/>
      <c r="J32" s="420"/>
      <c r="K32" s="423">
        <f>TRUNC(100-((((H32/H33*100))*100)/100),2)</f>
        <v>39.97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18392412.990000002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13" colorId="8" zoomScale="82" zoomScaleNormal="110" zoomScalePageLayoutView="82" workbookViewId="0">
      <selection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317446</v>
      </c>
      <c r="D4" s="466"/>
      <c r="E4" s="466">
        <v>321526</v>
      </c>
      <c r="F4" s="466">
        <v>107946</v>
      </c>
      <c r="G4" s="466">
        <v>17954</v>
      </c>
      <c r="H4" s="466">
        <v>77124</v>
      </c>
      <c r="I4" s="466">
        <v>4992</v>
      </c>
      <c r="J4" s="467"/>
      <c r="K4" s="466">
        <v>4</v>
      </c>
      <c r="L4" s="466">
        <v>219663</v>
      </c>
      <c r="M4" s="468"/>
      <c r="N4" s="469"/>
    </row>
    <row r="5" spans="1:14" x14ac:dyDescent="0.2">
      <c r="A5" s="463" t="s">
        <v>992</v>
      </c>
      <c r="B5" s="470">
        <v>120</v>
      </c>
      <c r="C5" s="465">
        <v>965802</v>
      </c>
      <c r="D5" s="466">
        <v>719259</v>
      </c>
      <c r="E5" s="466">
        <v>292490</v>
      </c>
      <c r="F5" s="466">
        <v>472093</v>
      </c>
      <c r="G5" s="466">
        <v>282197</v>
      </c>
      <c r="H5" s="466">
        <v>460020</v>
      </c>
      <c r="I5" s="466">
        <v>3060445</v>
      </c>
      <c r="J5" s="467">
        <v>202770</v>
      </c>
      <c r="K5" s="471">
        <v>75570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23893</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1307141</v>
      </c>
      <c r="D13" s="1737">
        <f t="shared" ref="D13:L13" si="0">SUM(D4:D12)</f>
        <v>719259</v>
      </c>
      <c r="E13" s="1737">
        <f t="shared" si="0"/>
        <v>614016</v>
      </c>
      <c r="F13" s="1737">
        <f t="shared" si="0"/>
        <v>580039</v>
      </c>
      <c r="G13" s="1737">
        <f t="shared" si="0"/>
        <v>300151</v>
      </c>
      <c r="H13" s="1737">
        <f t="shared" si="0"/>
        <v>537144</v>
      </c>
      <c r="I13" s="1737">
        <f t="shared" si="0"/>
        <v>3065437</v>
      </c>
      <c r="J13" s="1737">
        <f t="shared" si="0"/>
        <v>202770</v>
      </c>
      <c r="K13" s="1737">
        <f t="shared" si="0"/>
        <v>75574</v>
      </c>
      <c r="L13" s="1737">
        <f t="shared" si="0"/>
        <v>219663</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75875</v>
      </c>
      <c r="N16" s="484"/>
    </row>
    <row r="17" spans="1:14" s="485" customFormat="1" ht="12.75" customHeight="1" x14ac:dyDescent="0.2">
      <c r="A17" s="482" t="s">
        <v>1403</v>
      </c>
      <c r="B17" s="483">
        <v>230</v>
      </c>
      <c r="C17" s="477"/>
      <c r="D17" s="477"/>
      <c r="E17" s="477"/>
      <c r="F17" s="477"/>
      <c r="G17" s="477"/>
      <c r="H17" s="477"/>
      <c r="I17" s="477"/>
      <c r="J17" s="477"/>
      <c r="K17" s="477"/>
      <c r="L17" s="477"/>
      <c r="M17" s="467">
        <v>29944720</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1279360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614016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10425984</v>
      </c>
    </row>
    <row r="23" spans="1:14" ht="13.5" customHeight="1" thickBot="1" x14ac:dyDescent="0.25">
      <c r="A23" s="1736" t="s">
        <v>643</v>
      </c>
      <c r="B23" s="1741"/>
      <c r="C23" s="468"/>
      <c r="D23" s="468"/>
      <c r="E23" s="468"/>
      <c r="F23" s="468"/>
      <c r="G23" s="468"/>
      <c r="H23" s="468"/>
      <c r="I23" s="468"/>
      <c r="J23" s="468"/>
      <c r="K23" s="468"/>
      <c r="L23" s="468"/>
      <c r="M23" s="1688">
        <f>SUM(M15:M22)</f>
        <v>31299955</v>
      </c>
      <c r="N23" s="1688">
        <f>SUM(N21:N22)</f>
        <v>11040000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v>23893</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v>8471</v>
      </c>
      <c r="E27" s="467"/>
      <c r="F27" s="467"/>
      <c r="G27" s="467"/>
      <c r="H27" s="467"/>
      <c r="I27" s="467"/>
      <c r="J27" s="467">
        <v>5071</v>
      </c>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219663</v>
      </c>
      <c r="M33" s="468"/>
      <c r="N33" s="469"/>
    </row>
    <row r="34" spans="1:14" ht="13.5" customHeight="1" thickBot="1" x14ac:dyDescent="0.25">
      <c r="A34" s="1738" t="s">
        <v>654</v>
      </c>
      <c r="B34" s="1739"/>
      <c r="C34" s="1740">
        <f>SUM(C25:C33)</f>
        <v>0</v>
      </c>
      <c r="D34" s="1740">
        <f t="shared" ref="D34:K34" si="1">SUM(D25:D33)</f>
        <v>8471</v>
      </c>
      <c r="E34" s="1740">
        <f t="shared" si="1"/>
        <v>0</v>
      </c>
      <c r="F34" s="1740">
        <f t="shared" si="1"/>
        <v>0</v>
      </c>
      <c r="G34" s="1740">
        <f t="shared" si="1"/>
        <v>0</v>
      </c>
      <c r="H34" s="1740">
        <f t="shared" si="1"/>
        <v>0</v>
      </c>
      <c r="I34" s="1740">
        <f t="shared" si="1"/>
        <v>0</v>
      </c>
      <c r="J34" s="1740">
        <f t="shared" si="1"/>
        <v>28964</v>
      </c>
      <c r="K34" s="1740">
        <f t="shared" si="1"/>
        <v>0</v>
      </c>
      <c r="L34" s="1721">
        <f>SUM(L33)</f>
        <v>219663</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11040000</v>
      </c>
    </row>
    <row r="37" spans="1:14" ht="13.5" thickBot="1" x14ac:dyDescent="0.25">
      <c r="A37" s="1736" t="s">
        <v>653</v>
      </c>
      <c r="B37" s="1741"/>
      <c r="C37" s="477"/>
      <c r="D37" s="477"/>
      <c r="E37" s="477"/>
      <c r="F37" s="477"/>
      <c r="G37" s="477"/>
      <c r="H37" s="477"/>
      <c r="I37" s="477"/>
      <c r="J37" s="477"/>
      <c r="K37" s="477"/>
      <c r="L37" s="480"/>
      <c r="M37" s="468"/>
      <c r="N37" s="1688">
        <f>SUM(N36:N36)</f>
        <v>11040000</v>
      </c>
    </row>
    <row r="38" spans="1:14" s="329" customFormat="1" ht="13.5" customHeight="1" thickTop="1" x14ac:dyDescent="0.2">
      <c r="A38" s="496" t="s">
        <v>420</v>
      </c>
      <c r="B38" s="483">
        <v>714</v>
      </c>
      <c r="C38" s="466">
        <v>75922</v>
      </c>
      <c r="D38" s="466"/>
      <c r="E38" s="466"/>
      <c r="F38" s="466"/>
      <c r="G38" s="466"/>
      <c r="H38" s="466"/>
      <c r="I38" s="466"/>
      <c r="J38" s="467"/>
      <c r="K38" s="466"/>
      <c r="L38" s="481"/>
      <c r="M38" s="497"/>
      <c r="N38" s="497"/>
    </row>
    <row r="39" spans="1:14" s="329" customFormat="1" ht="13.5" customHeight="1" x14ac:dyDescent="0.2">
      <c r="A39" s="496" t="s">
        <v>342</v>
      </c>
      <c r="B39" s="483">
        <v>730</v>
      </c>
      <c r="C39" s="466">
        <v>1231219</v>
      </c>
      <c r="D39" s="466">
        <v>710788</v>
      </c>
      <c r="E39" s="466">
        <v>614016</v>
      </c>
      <c r="F39" s="466">
        <v>580039</v>
      </c>
      <c r="G39" s="466">
        <v>300151</v>
      </c>
      <c r="H39" s="466">
        <v>537144</v>
      </c>
      <c r="I39" s="466">
        <v>3065437</v>
      </c>
      <c r="J39" s="467">
        <v>173806</v>
      </c>
      <c r="K39" s="466">
        <v>75574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31299955</v>
      </c>
      <c r="N40" s="497"/>
    </row>
    <row r="41" spans="1:14" ht="13.5" customHeight="1" thickBot="1" x14ac:dyDescent="0.25">
      <c r="A41" s="1736" t="s">
        <v>655</v>
      </c>
      <c r="B41" s="1706"/>
      <c r="C41" s="1688">
        <f>(SUM(C34,C37,C38,C39))</f>
        <v>1307141</v>
      </c>
      <c r="D41" s="1688">
        <f t="shared" ref="D41:L41" si="2">SUM(D34,D37,D38:D39)</f>
        <v>719259</v>
      </c>
      <c r="E41" s="1688">
        <f t="shared" si="2"/>
        <v>614016</v>
      </c>
      <c r="F41" s="1688">
        <f t="shared" si="2"/>
        <v>580039</v>
      </c>
      <c r="G41" s="1688">
        <f t="shared" si="2"/>
        <v>300151</v>
      </c>
      <c r="H41" s="1688">
        <f t="shared" si="2"/>
        <v>537144</v>
      </c>
      <c r="I41" s="1688">
        <f t="shared" si="2"/>
        <v>3065437</v>
      </c>
      <c r="J41" s="1688">
        <f t="shared" si="2"/>
        <v>202770</v>
      </c>
      <c r="K41" s="1688">
        <f t="shared" si="2"/>
        <v>75574</v>
      </c>
      <c r="L41" s="1688">
        <f t="shared" si="2"/>
        <v>219663</v>
      </c>
      <c r="M41" s="1688">
        <f>SUM(M40)</f>
        <v>31299955</v>
      </c>
      <c r="N41" s="1688">
        <f>SUM(N37)</f>
        <v>11040000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6"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3672088</v>
      </c>
      <c r="D4" s="1742">
        <f>'Revenues 9-14'!D109</f>
        <v>812300</v>
      </c>
      <c r="E4" s="1742">
        <f>'Revenues 9-14'!E109</f>
        <v>1310158</v>
      </c>
      <c r="F4" s="1742">
        <f>'Revenues 9-14'!F109</f>
        <v>271041</v>
      </c>
      <c r="G4" s="1742">
        <f>'Revenues 9-14'!G109</f>
        <v>330093</v>
      </c>
      <c r="H4" s="1742">
        <f>'Revenues 9-14'!H109</f>
        <v>91708</v>
      </c>
      <c r="I4" s="1742">
        <f>'Revenues 9-14'!I109</f>
        <v>93204</v>
      </c>
      <c r="J4" s="1742">
        <f>'Revenues 9-14'!J109</f>
        <v>286393</v>
      </c>
      <c r="K4" s="1742">
        <f>'Revenues 9-14'!K109</f>
        <v>66353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2510298</v>
      </c>
      <c r="D6" s="1743">
        <f>'Revenues 9-14'!D170</f>
        <v>0</v>
      </c>
      <c r="E6" s="1743">
        <f>'Revenues 9-14'!E170</f>
        <v>0</v>
      </c>
      <c r="F6" s="1743">
        <f>'Revenues 9-14'!F170</f>
        <v>343171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528443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6710829</v>
      </c>
      <c r="D8" s="1688">
        <f t="shared" ref="D8:K8" si="0">SUM(D4:D7)</f>
        <v>812300</v>
      </c>
      <c r="E8" s="1688">
        <f t="shared" si="0"/>
        <v>1310158</v>
      </c>
      <c r="F8" s="1688">
        <f t="shared" si="0"/>
        <v>614212</v>
      </c>
      <c r="G8" s="1688">
        <f t="shared" si="0"/>
        <v>330093</v>
      </c>
      <c r="H8" s="1688">
        <f t="shared" si="0"/>
        <v>91708</v>
      </c>
      <c r="I8" s="1688">
        <f t="shared" si="0"/>
        <v>93204</v>
      </c>
      <c r="J8" s="1688">
        <f t="shared" si="0"/>
        <v>286393</v>
      </c>
      <c r="K8" s="1688">
        <f t="shared" si="0"/>
        <v>66353</v>
      </c>
      <c r="L8" s="347"/>
    </row>
    <row r="9" spans="1:13" ht="15.75" thickTop="1" x14ac:dyDescent="0.2">
      <c r="A9" s="514" t="s">
        <v>1653</v>
      </c>
      <c r="B9" s="515">
        <v>3998</v>
      </c>
      <c r="C9" s="481">
        <v>2873186</v>
      </c>
      <c r="D9" s="516"/>
      <c r="E9" s="481"/>
      <c r="F9" s="481"/>
      <c r="G9" s="517"/>
      <c r="H9" s="481"/>
      <c r="I9" s="509" t="s">
        <v>1169</v>
      </c>
      <c r="J9" s="478"/>
      <c r="K9" s="481"/>
      <c r="L9" s="347"/>
    </row>
    <row r="10" spans="1:13" s="519" customFormat="1" ht="13.5" thickBot="1" x14ac:dyDescent="0.25">
      <c r="A10" s="1736" t="s">
        <v>1173</v>
      </c>
      <c r="B10" s="1709"/>
      <c r="C10" s="1688">
        <f>SUM(C8:C9)</f>
        <v>9584015</v>
      </c>
      <c r="D10" s="1688">
        <f t="shared" ref="D10:K10" si="1">SUM(D8:D9)</f>
        <v>812300</v>
      </c>
      <c r="E10" s="1688">
        <f t="shared" si="1"/>
        <v>1310158</v>
      </c>
      <c r="F10" s="1688">
        <f t="shared" si="1"/>
        <v>614212</v>
      </c>
      <c r="G10" s="1688">
        <f t="shared" si="1"/>
        <v>330093</v>
      </c>
      <c r="H10" s="1688">
        <f t="shared" si="1"/>
        <v>91708</v>
      </c>
      <c r="I10" s="1688">
        <f t="shared" si="1"/>
        <v>93204</v>
      </c>
      <c r="J10" s="1688">
        <f t="shared" si="1"/>
        <v>286393</v>
      </c>
      <c r="K10" s="1688">
        <f t="shared" si="1"/>
        <v>66353</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4768793</v>
      </c>
      <c r="D12" s="520" t="s">
        <v>1169</v>
      </c>
      <c r="E12" s="468" t="s">
        <v>1169</v>
      </c>
      <c r="F12" s="468" t="s">
        <v>1169</v>
      </c>
      <c r="G12" s="1742">
        <f>'Expenditures 15-22'!K229</f>
        <v>83510</v>
      </c>
      <c r="H12" s="521"/>
      <c r="I12" s="468" t="s">
        <v>1169</v>
      </c>
      <c r="J12" s="468" t="s">
        <v>1169</v>
      </c>
      <c r="K12" s="521" t="s">
        <v>1169</v>
      </c>
      <c r="L12" s="347"/>
    </row>
    <row r="13" spans="1:13" ht="15.75" customHeight="1" x14ac:dyDescent="0.2">
      <c r="A13" s="1576" t="s">
        <v>457</v>
      </c>
      <c r="B13" s="1578">
        <v>2000</v>
      </c>
      <c r="C13" s="1743">
        <f>'Expenditures 15-22'!K74</f>
        <v>1417907</v>
      </c>
      <c r="D13" s="1743">
        <f>'Expenditures 15-22'!K129</f>
        <v>1147062</v>
      </c>
      <c r="E13" s="469" t="s">
        <v>1169</v>
      </c>
      <c r="F13" s="1743">
        <f>'Expenditures 15-22'!K184</f>
        <v>765363</v>
      </c>
      <c r="G13" s="1743">
        <f>'Expenditures 15-22'!K279</f>
        <v>142225</v>
      </c>
      <c r="H13" s="1743">
        <f>'Expenditures 15-22'!K303</f>
        <v>3085629</v>
      </c>
      <c r="I13" s="468" t="s">
        <v>1169</v>
      </c>
      <c r="J13" s="1743">
        <f>'Expenditures 15-22'!K330</f>
        <v>258921</v>
      </c>
      <c r="K13" s="1747">
        <f>'Expenditures 15-22'!K352</f>
        <v>121401</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478728</v>
      </c>
      <c r="D15" s="1743">
        <f>'Expenditures 15-22'!K139</f>
        <v>0</v>
      </c>
      <c r="E15" s="1743">
        <f>'Expenditures 15-22'!K160</f>
        <v>0</v>
      </c>
      <c r="F15" s="1743">
        <f>'Expenditures 15-22'!K196</f>
        <v>0</v>
      </c>
      <c r="G15" s="1743">
        <f>'Expenditures 15-22'!K285</f>
        <v>28994</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1316427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6665428</v>
      </c>
      <c r="D17" s="1688">
        <f t="shared" si="2"/>
        <v>1147062</v>
      </c>
      <c r="E17" s="1688">
        <f t="shared" si="2"/>
        <v>1316427</v>
      </c>
      <c r="F17" s="1688">
        <f t="shared" si="2"/>
        <v>765363</v>
      </c>
      <c r="G17" s="1688">
        <f t="shared" si="2"/>
        <v>254729</v>
      </c>
      <c r="H17" s="1688">
        <f t="shared" si="2"/>
        <v>3085629</v>
      </c>
      <c r="I17" s="468"/>
      <c r="J17" s="1688">
        <f>SUM(J12:J16)</f>
        <v>258921</v>
      </c>
      <c r="K17" s="1688">
        <f>SUM(K12:K16)</f>
        <v>121401</v>
      </c>
      <c r="L17" s="347"/>
    </row>
    <row r="18" spans="1:12" ht="15" customHeight="1" thickTop="1" x14ac:dyDescent="0.2">
      <c r="A18" s="1744" t="s">
        <v>1654</v>
      </c>
      <c r="B18" s="1745">
        <v>4180</v>
      </c>
      <c r="C18" s="1742">
        <f t="shared" ref="C18:H18" si="3">C9</f>
        <v>2873186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9538614</v>
      </c>
      <c r="D19" s="1688">
        <f t="shared" si="4"/>
        <v>1147062</v>
      </c>
      <c r="E19" s="1688">
        <f t="shared" si="4"/>
        <v>1316427</v>
      </c>
      <c r="F19" s="1688">
        <f t="shared" si="4"/>
        <v>765363</v>
      </c>
      <c r="G19" s="1688">
        <f t="shared" si="4"/>
        <v>254729</v>
      </c>
      <c r="H19" s="1688">
        <f t="shared" si="4"/>
        <v>3085629</v>
      </c>
      <c r="I19" s="468"/>
      <c r="J19" s="1688">
        <f>SUM(J17:J18)</f>
        <v>258921</v>
      </c>
      <c r="K19" s="1688">
        <f>SUM(K17:K18)</f>
        <v>121401</v>
      </c>
      <c r="L19" s="347"/>
    </row>
    <row r="20" spans="1:12" ht="16.5" thickTop="1" thickBot="1" x14ac:dyDescent="0.25">
      <c r="A20" s="2129" t="s">
        <v>1655</v>
      </c>
      <c r="B20" s="2130"/>
      <c r="C20" s="1746">
        <f>C8-C17</f>
        <v>45401</v>
      </c>
      <c r="D20" s="1746">
        <f t="shared" ref="D20:K20" si="5">D8-D17</f>
        <v>-334762</v>
      </c>
      <c r="E20" s="1746">
        <f t="shared" si="5"/>
        <v>-6269</v>
      </c>
      <c r="F20" s="1746">
        <f t="shared" si="5"/>
        <v>-151151</v>
      </c>
      <c r="G20" s="1746">
        <f t="shared" si="5"/>
        <v>75364</v>
      </c>
      <c r="H20" s="1746">
        <f t="shared" si="5"/>
        <v>-2993921</v>
      </c>
      <c r="I20" s="1746">
        <f t="shared" si="5"/>
        <v>93204</v>
      </c>
      <c r="J20" s="1746">
        <f t="shared" si="5"/>
        <v>27472</v>
      </c>
      <c r="K20" s="1746">
        <f t="shared" si="5"/>
        <v>-55048</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v>5155</v>
      </c>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5155</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v>5155</v>
      </c>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5155</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5155</v>
      </c>
      <c r="D77" s="1703">
        <f t="shared" si="8"/>
        <v>0</v>
      </c>
      <c r="E77" s="1703">
        <f t="shared" si="8"/>
        <v>-5155</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50556</v>
      </c>
      <c r="D78" s="1702">
        <f t="shared" si="9"/>
        <v>-334762</v>
      </c>
      <c r="E78" s="1702">
        <f t="shared" si="9"/>
        <v>-11424</v>
      </c>
      <c r="F78" s="1702">
        <f t="shared" si="9"/>
        <v>-151151</v>
      </c>
      <c r="G78" s="1702">
        <f t="shared" si="9"/>
        <v>75364</v>
      </c>
      <c r="H78" s="1702">
        <f t="shared" si="9"/>
        <v>-2993921</v>
      </c>
      <c r="I78" s="1702">
        <f t="shared" si="9"/>
        <v>93204</v>
      </c>
      <c r="J78" s="1702">
        <f t="shared" si="9"/>
        <v>27472</v>
      </c>
      <c r="K78" s="1702">
        <f t="shared" si="9"/>
        <v>-55048</v>
      </c>
      <c r="L78" s="533"/>
    </row>
    <row r="79" spans="1:12" ht="13.5" thickTop="1" x14ac:dyDescent="0.2">
      <c r="A79" s="1494" t="s">
        <v>1947</v>
      </c>
      <c r="B79" s="534"/>
      <c r="C79" s="478">
        <v>1256585</v>
      </c>
      <c r="D79" s="535">
        <v>1045550</v>
      </c>
      <c r="E79" s="535">
        <v>625440</v>
      </c>
      <c r="F79" s="535">
        <v>731190</v>
      </c>
      <c r="G79" s="535">
        <v>224787</v>
      </c>
      <c r="H79" s="535">
        <v>3531065</v>
      </c>
      <c r="I79" s="535">
        <v>2972233</v>
      </c>
      <c r="J79" s="535">
        <v>146334</v>
      </c>
      <c r="K79" s="535">
        <v>130622</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1307141</v>
      </c>
      <c r="D81" s="1688">
        <f>SUM(D78:D80)</f>
        <v>710788</v>
      </c>
      <c r="E81" s="1688">
        <f t="shared" ref="E81:K81" si="10">SUM(E78:E80)</f>
        <v>614016</v>
      </c>
      <c r="F81" s="1688">
        <f t="shared" si="10"/>
        <v>580039</v>
      </c>
      <c r="G81" s="1688">
        <f t="shared" si="10"/>
        <v>300151</v>
      </c>
      <c r="H81" s="1688">
        <f t="shared" si="10"/>
        <v>537144</v>
      </c>
      <c r="I81" s="1688">
        <f t="shared" si="10"/>
        <v>3065437</v>
      </c>
      <c r="J81" s="1688">
        <f t="shared" si="10"/>
        <v>173806</v>
      </c>
      <c r="K81" s="1688">
        <f t="shared" si="10"/>
        <v>75574</v>
      </c>
      <c r="L81" s="347"/>
    </row>
    <row r="82" spans="1:12" ht="0.75" customHeight="1" thickTop="1" thickBot="1" x14ac:dyDescent="0.25">
      <c r="A82" s="536" t="s">
        <v>343</v>
      </c>
      <c r="B82" s="537"/>
      <c r="C82" s="538">
        <f>(C81-C79)</f>
        <v>50556</v>
      </c>
      <c r="D82" s="538">
        <f t="shared" ref="D82:K82" si="11">(D81-D79)</f>
        <v>-334762</v>
      </c>
      <c r="E82" s="538">
        <f t="shared" si="11"/>
        <v>-11424</v>
      </c>
      <c r="F82" s="538">
        <f t="shared" si="11"/>
        <v>-151151</v>
      </c>
      <c r="G82" s="538">
        <f t="shared" si="11"/>
        <v>75364</v>
      </c>
      <c r="H82" s="538">
        <f t="shared" si="11"/>
        <v>-2993921</v>
      </c>
      <c r="I82" s="538">
        <f t="shared" si="11"/>
        <v>93204</v>
      </c>
      <c r="J82" s="538">
        <f t="shared" si="11"/>
        <v>27472</v>
      </c>
      <c r="K82" s="538">
        <f t="shared" si="11"/>
        <v>-55048</v>
      </c>
    </row>
    <row r="83" spans="1:12" ht="14.25" hidden="1" thickTop="1" thickBot="1" x14ac:dyDescent="0.25">
      <c r="A83" s="539" t="s">
        <v>344</v>
      </c>
      <c r="B83" s="464"/>
      <c r="C83" s="540">
        <f>C82/C81</f>
        <v>3.8676776262086494E-2</v>
      </c>
      <c r="D83" s="540">
        <f t="shared" ref="D83:K83" si="12">D82/D81</f>
        <v>-0.47097306088453939</v>
      </c>
      <c r="E83" s="540">
        <f t="shared" si="12"/>
        <v>-1.8605378361475921E-2</v>
      </c>
      <c r="F83" s="540">
        <f t="shared" si="12"/>
        <v>-0.2605876501407664</v>
      </c>
      <c r="G83" s="540">
        <f t="shared" si="12"/>
        <v>0.25108695290037347</v>
      </c>
      <c r="H83" s="540">
        <f t="shared" si="12"/>
        <v>-5.5737772366441778</v>
      </c>
      <c r="I83" s="540">
        <f t="shared" si="12"/>
        <v>3.0404800359622463E-2</v>
      </c>
      <c r="J83" s="540">
        <f t="shared" si="12"/>
        <v>0.15806128672197739</v>
      </c>
      <c r="K83" s="540">
        <f t="shared" si="12"/>
        <v>-0.72839865562230399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D16" sqref="D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3231633</v>
      </c>
      <c r="D5" s="481">
        <v>656836</v>
      </c>
      <c r="E5" s="466">
        <v>778540</v>
      </c>
      <c r="F5" s="548">
        <v>262735</v>
      </c>
      <c r="G5" s="466">
        <v>194213</v>
      </c>
      <c r="H5" s="466"/>
      <c r="I5" s="466">
        <v>65684</v>
      </c>
      <c r="J5" s="467">
        <v>283858</v>
      </c>
      <c r="K5" s="466">
        <v>65684</v>
      </c>
    </row>
    <row r="6" spans="1:12" ht="15" x14ac:dyDescent="0.2">
      <c r="A6" s="463" t="s">
        <v>1662</v>
      </c>
      <c r="B6" s="470">
        <v>1130</v>
      </c>
      <c r="C6" s="466">
        <v>65683</v>
      </c>
      <c r="D6" s="466"/>
      <c r="E6" s="475"/>
      <c r="F6" s="475"/>
      <c r="G6" s="468"/>
      <c r="H6" s="468"/>
      <c r="I6" s="468"/>
      <c r="J6" s="468"/>
      <c r="K6" s="468"/>
    </row>
    <row r="7" spans="1:12" x14ac:dyDescent="0.2">
      <c r="A7" s="463" t="s">
        <v>110</v>
      </c>
      <c r="B7" s="549">
        <v>1140</v>
      </c>
      <c r="C7" s="466">
        <v>52547</v>
      </c>
      <c r="D7" s="466"/>
      <c r="E7" s="468"/>
      <c r="F7" s="467"/>
      <c r="G7" s="467"/>
      <c r="H7" s="467"/>
      <c r="I7" s="468"/>
      <c r="J7" s="468"/>
      <c r="K7" s="468"/>
    </row>
    <row r="8" spans="1:12" x14ac:dyDescent="0.2">
      <c r="A8" s="463" t="s">
        <v>413</v>
      </c>
      <c r="B8" s="470">
        <v>1150</v>
      </c>
      <c r="C8" s="475"/>
      <c r="D8" s="475"/>
      <c r="E8" s="477"/>
      <c r="F8" s="477"/>
      <c r="G8" s="481">
        <v>117535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3349863</v>
      </c>
      <c r="D12" s="1707">
        <f t="shared" si="0"/>
        <v>656836</v>
      </c>
      <c r="E12" s="1707">
        <f t="shared" si="0"/>
        <v>778540</v>
      </c>
      <c r="F12" s="1707">
        <f t="shared" si="0"/>
        <v>262735</v>
      </c>
      <c r="G12" s="1707">
        <f t="shared" si="0"/>
        <v>311748</v>
      </c>
      <c r="H12" s="1707">
        <f t="shared" si="0"/>
        <v>0</v>
      </c>
      <c r="I12" s="1707">
        <f t="shared" si="0"/>
        <v>65684</v>
      </c>
      <c r="J12" s="1707">
        <f t="shared" si="0"/>
        <v>283858</v>
      </c>
      <c r="K12" s="1688">
        <f t="shared" si="0"/>
        <v>65684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6639</v>
      </c>
      <c r="D14" s="466">
        <v>1302</v>
      </c>
      <c r="E14" s="466">
        <v>1543</v>
      </c>
      <c r="F14" s="466">
        <v>521</v>
      </c>
      <c r="G14" s="466">
        <v>618</v>
      </c>
      <c r="H14" s="466"/>
      <c r="I14" s="466">
        <v>130</v>
      </c>
      <c r="J14" s="467">
        <v>563</v>
      </c>
      <c r="K14" s="466">
        <v>130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124356</v>
      </c>
      <c r="E16" s="466"/>
      <c r="F16" s="466"/>
      <c r="G16" s="466">
        <v>14970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6639</v>
      </c>
      <c r="D18" s="1710">
        <f t="shared" ref="D18:K18" si="1">SUM(D14:D17)</f>
        <v>125658</v>
      </c>
      <c r="E18" s="1710">
        <f t="shared" si="1"/>
        <v>1543</v>
      </c>
      <c r="F18" s="1710">
        <f t="shared" si="1"/>
        <v>521</v>
      </c>
      <c r="G18" s="1710">
        <f t="shared" si="1"/>
        <v>15588</v>
      </c>
      <c r="H18" s="1710">
        <f t="shared" si="1"/>
        <v>0</v>
      </c>
      <c r="I18" s="1710">
        <f t="shared" si="1"/>
        <v>130</v>
      </c>
      <c r="J18" s="1710">
        <f t="shared" si="1"/>
        <v>563</v>
      </c>
      <c r="K18" s="1711">
        <f t="shared" si="1"/>
        <v>130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3900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3900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3462</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3462</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17540</v>
      </c>
      <c r="D65" s="466">
        <v>9892</v>
      </c>
      <c r="E65" s="466">
        <v>5155</v>
      </c>
      <c r="F65" s="467">
        <v>4323</v>
      </c>
      <c r="G65" s="466">
        <v>2757</v>
      </c>
      <c r="H65" s="466">
        <v>14617</v>
      </c>
      <c r="I65" s="466">
        <v>27390</v>
      </c>
      <c r="J65" s="467">
        <v>1972</v>
      </c>
      <c r="K65" s="466">
        <v>539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17540</v>
      </c>
      <c r="D67" s="1688">
        <f t="shared" ref="D67:K67" si="2">SUM(D65:D66)</f>
        <v>9892</v>
      </c>
      <c r="E67" s="1688">
        <f t="shared" si="2"/>
        <v>5155</v>
      </c>
      <c r="F67" s="1688">
        <f t="shared" si="2"/>
        <v>4323</v>
      </c>
      <c r="G67" s="1688">
        <f t="shared" si="2"/>
        <v>2757</v>
      </c>
      <c r="H67" s="1688">
        <f t="shared" si="2"/>
        <v>14617</v>
      </c>
      <c r="I67" s="1688">
        <f t="shared" si="2"/>
        <v>27390</v>
      </c>
      <c r="J67" s="1688">
        <f t="shared" si="2"/>
        <v>1972</v>
      </c>
      <c r="K67" s="1688">
        <f t="shared" si="2"/>
        <v>539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89698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7791</v>
      </c>
      <c r="D74" s="468"/>
      <c r="E74" s="468"/>
      <c r="F74" s="468"/>
      <c r="G74" s="468"/>
      <c r="H74" s="468"/>
      <c r="I74" s="468"/>
      <c r="J74" s="468"/>
      <c r="K74" s="468"/>
    </row>
    <row r="75" spans="1:11" ht="12.75" customHeight="1" thickBot="1" x14ac:dyDescent="0.25">
      <c r="A75" s="1708" t="s">
        <v>548</v>
      </c>
      <c r="B75" s="1709"/>
      <c r="C75" s="1688">
        <f>SUM(C69:C74)</f>
        <v>97489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29042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93781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1619</v>
      </c>
      <c r="D81" s="466"/>
      <c r="E81" s="468"/>
      <c r="F81" s="468"/>
      <c r="G81" s="468"/>
      <c r="H81" s="468"/>
      <c r="I81" s="468"/>
      <c r="J81" s="468"/>
      <c r="K81" s="468"/>
    </row>
    <row r="82" spans="1:11" ht="12.75" customHeight="1" thickBot="1" x14ac:dyDescent="0.25">
      <c r="A82" s="1708" t="s">
        <v>241</v>
      </c>
      <c r="B82" s="1709"/>
      <c r="C82" s="1707">
        <f>SUM(C77:C81)</f>
        <v>124442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9013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524920</v>
      </c>
      <c r="F103" s="468"/>
      <c r="G103" s="468"/>
      <c r="H103" s="489">
        <v>77091</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63202</v>
      </c>
      <c r="D107" s="466">
        <v>19914</v>
      </c>
      <c r="E107" s="466"/>
      <c r="F107" s="466"/>
      <c r="G107" s="466"/>
      <c r="H107" s="466"/>
      <c r="I107" s="466"/>
      <c r="J107" s="467"/>
      <c r="K107" s="466"/>
    </row>
    <row r="108" spans="1:12" ht="12.75" customHeight="1" thickBot="1" x14ac:dyDescent="0.25">
      <c r="A108" s="1708" t="s">
        <v>487</v>
      </c>
      <c r="B108" s="1712"/>
      <c r="C108" s="1707">
        <f>SUM(C95:C107)</f>
        <v>72215</v>
      </c>
      <c r="D108" s="1707">
        <f t="shared" ref="D108:K108" si="3">SUM(D95:D107)</f>
        <v>19914</v>
      </c>
      <c r="E108" s="1707">
        <f t="shared" si="3"/>
        <v>524920</v>
      </c>
      <c r="F108" s="1707">
        <f t="shared" si="3"/>
        <v>0</v>
      </c>
      <c r="G108" s="1707">
        <f t="shared" si="3"/>
        <v>0</v>
      </c>
      <c r="H108" s="1707">
        <f t="shared" si="3"/>
        <v>77091</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3672088</v>
      </c>
      <c r="D109" s="1715">
        <f t="shared" si="4"/>
        <v>812300</v>
      </c>
      <c r="E109" s="1715">
        <f t="shared" si="4"/>
        <v>1310158</v>
      </c>
      <c r="F109" s="1715">
        <f t="shared" si="4"/>
        <v>271041</v>
      </c>
      <c r="G109" s="1715">
        <f t="shared" si="4"/>
        <v>330093</v>
      </c>
      <c r="H109" s="1715">
        <f t="shared" si="4"/>
        <v>91708</v>
      </c>
      <c r="I109" s="1715">
        <f t="shared" si="4"/>
        <v>93204</v>
      </c>
      <c r="J109" s="1715">
        <f t="shared" si="4"/>
        <v>286393</v>
      </c>
      <c r="K109" s="1702">
        <f t="shared" si="4"/>
        <v>66353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2241442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2241442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5341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5341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4024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12369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260454</v>
      </c>
      <c r="G152" s="467"/>
      <c r="H152" s="468"/>
      <c r="I152" s="468"/>
      <c r="J152" s="468"/>
      <c r="K152" s="468"/>
    </row>
    <row r="153" spans="1:11" ht="12.75" customHeight="1" x14ac:dyDescent="0.2">
      <c r="A153" s="463" t="s">
        <v>1057</v>
      </c>
      <c r="B153" s="562">
        <v>3510</v>
      </c>
      <c r="C153" s="551"/>
      <c r="D153" s="466"/>
      <c r="E153" s="561"/>
      <c r="F153" s="466">
        <v>82717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343171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245622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1500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268856</v>
      </c>
      <c r="D169" s="1722">
        <f t="shared" si="6"/>
        <v>0</v>
      </c>
      <c r="E169" s="1722">
        <f t="shared" si="6"/>
        <v>0</v>
      </c>
      <c r="F169" s="1722">
        <f t="shared" si="6"/>
        <v>343171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2510298</v>
      </c>
      <c r="D170" s="1715">
        <f t="shared" si="7"/>
        <v>0</v>
      </c>
      <c r="E170" s="1715">
        <f t="shared" si="7"/>
        <v>0</v>
      </c>
      <c r="F170" s="1715">
        <f t="shared" si="7"/>
        <v>343171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168271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56095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224366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61574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61574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217377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217377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18762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6364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528443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528443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6710829</v>
      </c>
      <c r="D268" s="1715">
        <f t="shared" si="12"/>
        <v>812300</v>
      </c>
      <c r="E268" s="1715">
        <f t="shared" si="12"/>
        <v>1310158</v>
      </c>
      <c r="F268" s="1715">
        <f t="shared" si="12"/>
        <v>614212</v>
      </c>
      <c r="G268" s="1715">
        <f t="shared" si="12"/>
        <v>330093</v>
      </c>
      <c r="H268" s="1715">
        <f t="shared" si="12"/>
        <v>91708</v>
      </c>
      <c r="I268" s="1715">
        <f t="shared" si="12"/>
        <v>93204</v>
      </c>
      <c r="J268" s="1715">
        <f t="shared" si="12"/>
        <v>286393</v>
      </c>
      <c r="K268" s="1702">
        <f t="shared" si="12"/>
        <v>66353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63" activePane="bottomLeft" state="frozen"/>
      <selection activeCell="K6" sqref="K6"/>
      <selection pane="bottomLeft" activeCell="H82" sqref="H8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2794597</v>
      </c>
      <c r="D5" s="466">
        <v>679053</v>
      </c>
      <c r="E5" s="466">
        <v>15495</v>
      </c>
      <c r="F5" s="466">
        <v>148989</v>
      </c>
      <c r="G5" s="466"/>
      <c r="H5" s="466">
        <v>2680</v>
      </c>
      <c r="I5" s="467">
        <v>93110</v>
      </c>
      <c r="J5" s="467"/>
      <c r="K5" s="1671">
        <f>SUM(C5:J5)</f>
        <v>3733924</v>
      </c>
      <c r="L5" s="466">
        <v>3753367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158752</v>
      </c>
      <c r="D7" s="467">
        <v>25645</v>
      </c>
      <c r="E7" s="467">
        <v>4341</v>
      </c>
      <c r="F7" s="467">
        <v>10356</v>
      </c>
      <c r="G7" s="467"/>
      <c r="H7" s="467"/>
      <c r="I7" s="467"/>
      <c r="J7" s="467"/>
      <c r="K7" s="1671">
        <f t="shared" ref="K7:K32" si="0">SUM(C7:J7)</f>
        <v>199094</v>
      </c>
      <c r="L7" s="466">
        <v>226588</v>
      </c>
    </row>
    <row r="8" spans="1:14" x14ac:dyDescent="0.2">
      <c r="A8" s="1504" t="s">
        <v>164</v>
      </c>
      <c r="B8" s="614">
        <v>1200</v>
      </c>
      <c r="C8" s="466">
        <v>406943</v>
      </c>
      <c r="D8" s="466">
        <v>38790</v>
      </c>
      <c r="E8" s="466"/>
      <c r="F8" s="466"/>
      <c r="G8" s="466"/>
      <c r="H8" s="466"/>
      <c r="I8" s="467"/>
      <c r="J8" s="467"/>
      <c r="K8" s="1671">
        <f t="shared" si="0"/>
        <v>445733</v>
      </c>
      <c r="L8" s="466"/>
    </row>
    <row r="9" spans="1:14" x14ac:dyDescent="0.2">
      <c r="A9" s="1504" t="s">
        <v>721</v>
      </c>
      <c r="B9" s="614" t="s">
        <v>968</v>
      </c>
      <c r="C9" s="467"/>
      <c r="D9" s="467"/>
      <c r="E9" s="467"/>
      <c r="F9" s="467"/>
      <c r="G9" s="467"/>
      <c r="H9" s="467"/>
      <c r="I9" s="467"/>
      <c r="J9" s="467"/>
      <c r="K9" s="1671">
        <f t="shared" si="0"/>
        <v>0</v>
      </c>
      <c r="L9" s="466">
        <v>333840</v>
      </c>
    </row>
    <row r="10" spans="1:14" x14ac:dyDescent="0.2">
      <c r="A10" s="1504" t="s">
        <v>722</v>
      </c>
      <c r="B10" s="614">
        <v>1250</v>
      </c>
      <c r="C10" s="466">
        <v>85085</v>
      </c>
      <c r="D10" s="466">
        <v>14904</v>
      </c>
      <c r="E10" s="466">
        <v>3900</v>
      </c>
      <c r="F10" s="466">
        <v>747</v>
      </c>
      <c r="G10" s="466"/>
      <c r="H10" s="466"/>
      <c r="I10" s="467"/>
      <c r="J10" s="467"/>
      <c r="K10" s="1671">
        <f t="shared" si="0"/>
        <v>104636</v>
      </c>
      <c r="L10" s="466">
        <v>101034</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130615</v>
      </c>
      <c r="D14" s="466">
        <v>17912</v>
      </c>
      <c r="E14" s="466">
        <v>22545</v>
      </c>
      <c r="F14" s="466">
        <v>25540</v>
      </c>
      <c r="G14" s="466">
        <v>15330</v>
      </c>
      <c r="H14" s="466">
        <v>6469</v>
      </c>
      <c r="I14" s="467"/>
      <c r="J14" s="467"/>
      <c r="K14" s="1671">
        <f t="shared" si="0"/>
        <v>218411</v>
      </c>
      <c r="L14" s="466">
        <v>207850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37865</v>
      </c>
      <c r="D19" s="466">
        <v>3860</v>
      </c>
      <c r="E19" s="466"/>
      <c r="F19" s="466">
        <v>9650</v>
      </c>
      <c r="G19" s="466"/>
      <c r="H19" s="466"/>
      <c r="I19" s="467">
        <v>15620</v>
      </c>
      <c r="J19" s="467"/>
      <c r="K19" s="1671">
        <f t="shared" si="0"/>
        <v>66995</v>
      </c>
      <c r="L19" s="466">
        <v>84938</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3613857</v>
      </c>
      <c r="D33" s="1670">
        <f t="shared" ref="D33:L33" si="1">SUM(D5:D32)</f>
        <v>780164</v>
      </c>
      <c r="E33" s="1670">
        <f t="shared" si="1"/>
        <v>46281</v>
      </c>
      <c r="F33" s="1670">
        <f t="shared" si="1"/>
        <v>195282</v>
      </c>
      <c r="G33" s="1670">
        <f t="shared" si="1"/>
        <v>15330</v>
      </c>
      <c r="H33" s="1670">
        <f t="shared" si="1"/>
        <v>9149</v>
      </c>
      <c r="I33" s="1670">
        <f t="shared" si="1"/>
        <v>108730</v>
      </c>
      <c r="J33" s="1670">
        <f t="shared" si="1"/>
        <v>0</v>
      </c>
      <c r="K33" s="1670">
        <f t="shared" si="1"/>
        <v>4768793</v>
      </c>
      <c r="L33" s="1670">
        <f t="shared" si="1"/>
        <v>4707617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83936</v>
      </c>
      <c r="D37" s="466">
        <v>14723</v>
      </c>
      <c r="E37" s="466"/>
      <c r="F37" s="466"/>
      <c r="G37" s="466"/>
      <c r="H37" s="466"/>
      <c r="I37" s="467"/>
      <c r="J37" s="467"/>
      <c r="K37" s="1671">
        <f t="shared" si="2"/>
        <v>98659</v>
      </c>
      <c r="L37" s="466">
        <v>81055</v>
      </c>
    </row>
    <row r="38" spans="1:14" x14ac:dyDescent="0.2">
      <c r="A38" s="1504" t="s">
        <v>198</v>
      </c>
      <c r="B38" s="614">
        <v>2130</v>
      </c>
      <c r="C38" s="466">
        <v>32467</v>
      </c>
      <c r="D38" s="466">
        <v>2156</v>
      </c>
      <c r="E38" s="466">
        <v>1099</v>
      </c>
      <c r="F38" s="466">
        <v>507</v>
      </c>
      <c r="G38" s="466"/>
      <c r="H38" s="466"/>
      <c r="I38" s="467"/>
      <c r="J38" s="467"/>
      <c r="K38" s="1671">
        <f t="shared" si="2"/>
        <v>36229</v>
      </c>
      <c r="L38" s="466">
        <v>38269</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116403</v>
      </c>
      <c r="D42" s="1670">
        <f t="shared" ref="D42:L42" si="3">SUM(D36:D41)</f>
        <v>16879</v>
      </c>
      <c r="E42" s="1670">
        <f t="shared" si="3"/>
        <v>1099</v>
      </c>
      <c r="F42" s="1670">
        <f t="shared" si="3"/>
        <v>507</v>
      </c>
      <c r="G42" s="1670">
        <f t="shared" si="3"/>
        <v>0</v>
      </c>
      <c r="H42" s="1670">
        <f t="shared" si="3"/>
        <v>0</v>
      </c>
      <c r="I42" s="1670">
        <f t="shared" si="3"/>
        <v>0</v>
      </c>
      <c r="J42" s="1670">
        <f t="shared" si="3"/>
        <v>0</v>
      </c>
      <c r="K42" s="1670">
        <f t="shared" si="3"/>
        <v>134888</v>
      </c>
      <c r="L42" s="1670">
        <f t="shared" si="3"/>
        <v>119324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v>27455</v>
      </c>
      <c r="D45" s="466">
        <v>3127</v>
      </c>
      <c r="E45" s="466">
        <v>2250</v>
      </c>
      <c r="F45" s="466">
        <v>6163</v>
      </c>
      <c r="G45" s="466"/>
      <c r="H45" s="466"/>
      <c r="I45" s="467"/>
      <c r="J45" s="467"/>
      <c r="K45" s="1672">
        <f>SUM(C45:J45)</f>
        <v>38995</v>
      </c>
      <c r="L45" s="466">
        <v>41079</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27455</v>
      </c>
      <c r="D47" s="1670">
        <f t="shared" ref="D47:K47" si="4">SUM(D44:D46)</f>
        <v>3127</v>
      </c>
      <c r="E47" s="1670">
        <f t="shared" si="4"/>
        <v>2250</v>
      </c>
      <c r="F47" s="1670">
        <f t="shared" si="4"/>
        <v>6163</v>
      </c>
      <c r="G47" s="1670">
        <f t="shared" si="4"/>
        <v>0</v>
      </c>
      <c r="H47" s="1670">
        <f t="shared" si="4"/>
        <v>0</v>
      </c>
      <c r="I47" s="1670">
        <f t="shared" si="4"/>
        <v>0</v>
      </c>
      <c r="J47" s="1670">
        <f t="shared" si="4"/>
        <v>0</v>
      </c>
      <c r="K47" s="1670">
        <f t="shared" si="4"/>
        <v>38995</v>
      </c>
      <c r="L47" s="1670">
        <f>SUM(L44:L46)</f>
        <v>41079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13064</v>
      </c>
      <c r="D49" s="481">
        <v>5</v>
      </c>
      <c r="E49" s="481">
        <v>114885</v>
      </c>
      <c r="F49" s="481">
        <v>8426</v>
      </c>
      <c r="G49" s="481"/>
      <c r="H49" s="481">
        <v>10327</v>
      </c>
      <c r="I49" s="467"/>
      <c r="J49" s="467"/>
      <c r="K49" s="1672">
        <f>SUM(C49:J49)</f>
        <v>146707</v>
      </c>
      <c r="L49" s="481">
        <v>171400</v>
      </c>
    </row>
    <row r="50" spans="1:14" x14ac:dyDescent="0.2">
      <c r="A50" s="1504" t="s">
        <v>818</v>
      </c>
      <c r="B50" s="614">
        <v>2320</v>
      </c>
      <c r="C50" s="466">
        <v>98541</v>
      </c>
      <c r="D50" s="466">
        <v>34109</v>
      </c>
      <c r="E50" s="466">
        <v>435</v>
      </c>
      <c r="F50" s="466">
        <v>449</v>
      </c>
      <c r="G50" s="466"/>
      <c r="H50" s="466"/>
      <c r="I50" s="467"/>
      <c r="J50" s="467"/>
      <c r="K50" s="1672">
        <f>SUM(C50:J50)</f>
        <v>133534</v>
      </c>
      <c r="L50" s="466">
        <v>136036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111605</v>
      </c>
      <c r="D53" s="1670">
        <f t="shared" ref="D53:L53" si="5">SUM(D49:D52)</f>
        <v>34114</v>
      </c>
      <c r="E53" s="1670">
        <f t="shared" si="5"/>
        <v>115320</v>
      </c>
      <c r="F53" s="1670">
        <f t="shared" si="5"/>
        <v>8875</v>
      </c>
      <c r="G53" s="1670">
        <f t="shared" si="5"/>
        <v>0</v>
      </c>
      <c r="H53" s="1670">
        <f t="shared" si="5"/>
        <v>10327</v>
      </c>
      <c r="I53" s="1670">
        <f t="shared" si="5"/>
        <v>0</v>
      </c>
      <c r="J53" s="1670">
        <f t="shared" si="5"/>
        <v>0</v>
      </c>
      <c r="K53" s="1670">
        <f t="shared" si="5"/>
        <v>280241</v>
      </c>
      <c r="L53" s="1670">
        <f t="shared" si="5"/>
        <v>307436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493477</v>
      </c>
      <c r="D55" s="481">
        <v>109135</v>
      </c>
      <c r="E55" s="481">
        <v>2033</v>
      </c>
      <c r="F55" s="481">
        <v>142</v>
      </c>
      <c r="G55" s="481"/>
      <c r="H55" s="481">
        <v>722</v>
      </c>
      <c r="I55" s="467"/>
      <c r="J55" s="467"/>
      <c r="K55" s="1672">
        <f>SUM(C55:J55)</f>
        <v>605509</v>
      </c>
      <c r="L55" s="481">
        <v>606954</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493477</v>
      </c>
      <c r="D57" s="1674">
        <f t="shared" ref="D57:K57" si="6">SUM(D55:D56)</f>
        <v>109135</v>
      </c>
      <c r="E57" s="1674">
        <f t="shared" si="6"/>
        <v>2033</v>
      </c>
      <c r="F57" s="1674">
        <f t="shared" si="6"/>
        <v>142</v>
      </c>
      <c r="G57" s="1674">
        <f t="shared" si="6"/>
        <v>0</v>
      </c>
      <c r="H57" s="1674">
        <f t="shared" si="6"/>
        <v>722</v>
      </c>
      <c r="I57" s="1674">
        <f t="shared" si="6"/>
        <v>0</v>
      </c>
      <c r="J57" s="1674">
        <f t="shared" si="6"/>
        <v>0</v>
      </c>
      <c r="K57" s="1674">
        <f t="shared" si="6"/>
        <v>605509</v>
      </c>
      <c r="L57" s="1670">
        <f>SUM(L55:L56)</f>
        <v>606954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70633</v>
      </c>
      <c r="D60" s="466">
        <v>3297</v>
      </c>
      <c r="E60" s="466"/>
      <c r="F60" s="466"/>
      <c r="G60" s="466"/>
      <c r="H60" s="466"/>
      <c r="I60" s="467"/>
      <c r="J60" s="467"/>
      <c r="K60" s="1672">
        <f t="shared" si="7"/>
        <v>73930</v>
      </c>
      <c r="L60" s="466">
        <v>73530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83115</v>
      </c>
      <c r="D63" s="466">
        <v>143</v>
      </c>
      <c r="E63" s="466">
        <v>4060</v>
      </c>
      <c r="F63" s="466">
        <v>176481</v>
      </c>
      <c r="G63" s="466"/>
      <c r="H63" s="466"/>
      <c r="I63" s="467"/>
      <c r="J63" s="467"/>
      <c r="K63" s="1672">
        <f t="shared" si="7"/>
        <v>263799</v>
      </c>
      <c r="L63" s="466">
        <v>261927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153748</v>
      </c>
      <c r="D65" s="1670">
        <f t="shared" ref="D65:L65" si="8">SUM(D59:D64)</f>
        <v>3440</v>
      </c>
      <c r="E65" s="1670">
        <f t="shared" si="8"/>
        <v>4060</v>
      </c>
      <c r="F65" s="1670">
        <f t="shared" si="8"/>
        <v>176481</v>
      </c>
      <c r="G65" s="1670">
        <f t="shared" si="8"/>
        <v>0</v>
      </c>
      <c r="H65" s="1670">
        <f t="shared" si="8"/>
        <v>0</v>
      </c>
      <c r="I65" s="1670">
        <f t="shared" si="8"/>
        <v>0</v>
      </c>
      <c r="J65" s="1670">
        <f t="shared" si="8"/>
        <v>0</v>
      </c>
      <c r="K65" s="1670">
        <f t="shared" si="8"/>
        <v>337729</v>
      </c>
      <c r="L65" s="1670">
        <f t="shared" si="8"/>
        <v>335457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20545</v>
      </c>
      <c r="F71" s="466"/>
      <c r="G71" s="466"/>
      <c r="H71" s="466"/>
      <c r="I71" s="467"/>
      <c r="J71" s="467"/>
      <c r="K71" s="1672">
        <f>SUM(C71:J71)</f>
        <v>20545</v>
      </c>
      <c r="L71" s="466">
        <v>21000</v>
      </c>
      <c r="M71" s="609"/>
      <c r="N71" s="609"/>
    </row>
    <row r="72" spans="1:14" s="343" customFormat="1" ht="12.75" customHeight="1" thickBot="1" x14ac:dyDescent="0.25">
      <c r="A72" s="1668" t="s">
        <v>37</v>
      </c>
      <c r="B72" s="1675" t="s">
        <v>36</v>
      </c>
      <c r="C72" s="1670">
        <f>SUM(C67:C71)</f>
        <v>0</v>
      </c>
      <c r="D72" s="1670">
        <f t="shared" ref="D72:K72" si="9">SUM(D67:D71)</f>
        <v>0</v>
      </c>
      <c r="E72" s="1670">
        <f t="shared" si="9"/>
        <v>20545</v>
      </c>
      <c r="F72" s="1670">
        <f t="shared" si="9"/>
        <v>0</v>
      </c>
      <c r="G72" s="1670">
        <f t="shared" si="9"/>
        <v>0</v>
      </c>
      <c r="H72" s="1670">
        <f t="shared" si="9"/>
        <v>0</v>
      </c>
      <c r="I72" s="1670">
        <f t="shared" si="9"/>
        <v>0</v>
      </c>
      <c r="J72" s="1670">
        <f t="shared" si="9"/>
        <v>0</v>
      </c>
      <c r="K72" s="1670">
        <f t="shared" si="9"/>
        <v>20545</v>
      </c>
      <c r="L72" s="1670">
        <f>SUM(L67:L71)</f>
        <v>21000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902688</v>
      </c>
      <c r="D74" s="1677">
        <f t="shared" ref="D74:K74" si="10">SUM(D42,D47,D53,D57,D65,D72,D73)</f>
        <v>166695</v>
      </c>
      <c r="E74" s="1677">
        <f t="shared" si="10"/>
        <v>145307</v>
      </c>
      <c r="F74" s="1677">
        <f t="shared" si="10"/>
        <v>192168</v>
      </c>
      <c r="G74" s="1677">
        <f t="shared" si="10"/>
        <v>0</v>
      </c>
      <c r="H74" s="1677">
        <f t="shared" si="10"/>
        <v>11049</v>
      </c>
      <c r="I74" s="1677">
        <f t="shared" si="10"/>
        <v>0</v>
      </c>
      <c r="J74" s="1677">
        <f t="shared" si="10"/>
        <v>0</v>
      </c>
      <c r="K74" s="1677">
        <f t="shared" si="10"/>
        <v>1417907</v>
      </c>
      <c r="L74" s="1677">
        <f>SUM(L42,L47,L53,L57,L65,L72,L73)</f>
        <v>1431250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v>20000</v>
      </c>
    </row>
    <row r="86" spans="1:12" ht="12.75" customHeight="1" thickTop="1" thickBot="1" x14ac:dyDescent="0.25">
      <c r="A86" s="1512" t="s">
        <v>699</v>
      </c>
      <c r="B86" s="637">
        <v>4220</v>
      </c>
      <c r="C86" s="616"/>
      <c r="D86" s="616"/>
      <c r="E86" s="638"/>
      <c r="F86" s="616"/>
      <c r="G86" s="616"/>
      <c r="H86" s="467">
        <v>413373</v>
      </c>
      <c r="I86" s="477"/>
      <c r="J86" s="477"/>
      <c r="K86" s="1677">
        <f t="shared" ref="K86:K98" si="12">H86</f>
        <v>413373</v>
      </c>
      <c r="L86" s="530">
        <v>452000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65355</v>
      </c>
      <c r="I88" s="477"/>
      <c r="J88" s="477"/>
      <c r="K88" s="1677">
        <f t="shared" si="12"/>
        <v>65355</v>
      </c>
      <c r="L88" s="530">
        <v>67000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478728</v>
      </c>
      <c r="I92" s="477"/>
      <c r="J92" s="477"/>
      <c r="K92" s="1677">
        <f t="shared" si="12"/>
        <v>478728</v>
      </c>
      <c r="L92" s="1670">
        <f>SUM(L85:L91)</f>
        <v>539000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478728</v>
      </c>
      <c r="I102" s="477"/>
      <c r="J102" s="477"/>
      <c r="K102" s="1677">
        <f>SUM(K84,K92,K100,K101)</f>
        <v>478728</v>
      </c>
      <c r="L102" s="1677">
        <f>SUM(L84,L92,L100,L101)</f>
        <v>539000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4516545</v>
      </c>
      <c r="D114" s="1670">
        <f t="shared" ref="D114:K114" si="13">SUM(D33,D74,D75,D102,D112,D113)</f>
        <v>946859</v>
      </c>
      <c r="E114" s="1670">
        <f t="shared" si="13"/>
        <v>191588</v>
      </c>
      <c r="F114" s="1670">
        <f t="shared" si="13"/>
        <v>387450</v>
      </c>
      <c r="G114" s="1670">
        <f t="shared" si="13"/>
        <v>15330</v>
      </c>
      <c r="H114" s="1670">
        <f>SUM(H33,H74,H75,H102,H112,H113)</f>
        <v>498926</v>
      </c>
      <c r="I114" s="1670">
        <f t="shared" si="13"/>
        <v>108730</v>
      </c>
      <c r="J114" s="1670">
        <f t="shared" si="13"/>
        <v>0</v>
      </c>
      <c r="K114" s="1670">
        <f t="shared" si="13"/>
        <v>6665428</v>
      </c>
      <c r="L114" s="1670">
        <f>SUM(L33,L74,L75,L102,L112,L113)</f>
        <v>6677867</v>
      </c>
    </row>
    <row r="115" spans="1:14" ht="13.5" thickTop="1" x14ac:dyDescent="0.2">
      <c r="A115" s="2184" t="s">
        <v>996</v>
      </c>
      <c r="B115" s="2185"/>
      <c r="C115" s="618"/>
      <c r="D115" s="618"/>
      <c r="E115" s="618"/>
      <c r="F115" s="618"/>
      <c r="G115" s="618"/>
      <c r="H115" s="618"/>
      <c r="I115" s="618"/>
      <c r="J115" s="618"/>
      <c r="K115" s="1684">
        <f>'Revenues 9-14'!C268-'Expenditures 15-22'!K114</f>
        <v>45401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336930</v>
      </c>
      <c r="D124" s="466">
        <v>13073</v>
      </c>
      <c r="E124" s="466">
        <v>110510</v>
      </c>
      <c r="F124" s="466">
        <v>322412</v>
      </c>
      <c r="G124" s="466">
        <v>351388</v>
      </c>
      <c r="H124" s="466">
        <v>12749</v>
      </c>
      <c r="I124" s="467"/>
      <c r="J124" s="467"/>
      <c r="K124" s="1670">
        <f>SUM(C124:J124)</f>
        <v>1147062</v>
      </c>
      <c r="L124" s="466">
        <v>1043400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336930</v>
      </c>
      <c r="D127" s="1670">
        <f t="shared" ref="D127:L127" si="14">SUM(D122:D126)</f>
        <v>13073</v>
      </c>
      <c r="E127" s="1670">
        <f t="shared" si="14"/>
        <v>110510</v>
      </c>
      <c r="F127" s="1670">
        <f t="shared" si="14"/>
        <v>322412</v>
      </c>
      <c r="G127" s="1670">
        <f t="shared" si="14"/>
        <v>351388</v>
      </c>
      <c r="H127" s="1670">
        <f t="shared" si="14"/>
        <v>12749</v>
      </c>
      <c r="I127" s="1670">
        <f t="shared" si="14"/>
        <v>0</v>
      </c>
      <c r="J127" s="1670">
        <f t="shared" si="14"/>
        <v>0</v>
      </c>
      <c r="K127" s="1670">
        <f t="shared" si="14"/>
        <v>1147062</v>
      </c>
      <c r="L127" s="1670">
        <f t="shared" si="14"/>
        <v>1043400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336930</v>
      </c>
      <c r="D129" s="1677">
        <f t="shared" ref="D129:L129" si="15">SUM(D120,D127,D128)</f>
        <v>13073</v>
      </c>
      <c r="E129" s="1677">
        <f t="shared" si="15"/>
        <v>110510</v>
      </c>
      <c r="F129" s="1677">
        <f t="shared" si="15"/>
        <v>322412</v>
      </c>
      <c r="G129" s="1677">
        <f t="shared" si="15"/>
        <v>351388</v>
      </c>
      <c r="H129" s="1677">
        <f t="shared" si="15"/>
        <v>12749</v>
      </c>
      <c r="I129" s="1677">
        <f t="shared" si="15"/>
        <v>0</v>
      </c>
      <c r="J129" s="1677">
        <f t="shared" si="15"/>
        <v>0</v>
      </c>
      <c r="K129" s="1677">
        <f t="shared" si="15"/>
        <v>1147062</v>
      </c>
      <c r="L129" s="1677">
        <f t="shared" si="15"/>
        <v>1043400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v>6380</v>
      </c>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6380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6380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336930</v>
      </c>
      <c r="D151" s="1670">
        <f t="shared" ref="D151:K151" si="16">SUM(D129,D130,D139,D149,D150)</f>
        <v>13073</v>
      </c>
      <c r="E151" s="1670">
        <f t="shared" si="16"/>
        <v>110510</v>
      </c>
      <c r="F151" s="1670">
        <f t="shared" si="16"/>
        <v>322412</v>
      </c>
      <c r="G151" s="1670">
        <f t="shared" si="16"/>
        <v>351388</v>
      </c>
      <c r="H151" s="1670">
        <f t="shared" si="16"/>
        <v>12749</v>
      </c>
      <c r="I151" s="1670">
        <f t="shared" si="16"/>
        <v>0</v>
      </c>
      <c r="J151" s="1670">
        <f t="shared" si="16"/>
        <v>0</v>
      </c>
      <c r="K151" s="1670">
        <f t="shared" si="16"/>
        <v>1147062</v>
      </c>
      <c r="L151" s="1670">
        <f>SUM(L129,L130,L139,L149,L150)</f>
        <v>1049780</v>
      </c>
    </row>
    <row r="152" spans="1:14" ht="12.75" customHeight="1" thickTop="1" x14ac:dyDescent="0.2">
      <c r="A152" s="2177" t="s">
        <v>1178</v>
      </c>
      <c r="B152" s="2178"/>
      <c r="C152" s="618"/>
      <c r="D152" s="618"/>
      <c r="E152" s="618"/>
      <c r="F152" s="618"/>
      <c r="G152" s="618"/>
      <c r="H152" s="618"/>
      <c r="I152" s="618"/>
      <c r="J152" s="616"/>
      <c r="K152" s="1684">
        <f>'Revenues 9-14'!D268-'Expenditures 15-22'!K151</f>
        <v>-334762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530427</v>
      </c>
      <c r="I169" s="616"/>
      <c r="J169" s="616"/>
      <c r="K169" s="1671">
        <f>SUM(C169:H169)</f>
        <v>530427</v>
      </c>
      <c r="L169" s="656">
        <v>267427</v>
      </c>
    </row>
    <row r="170" spans="1:14" ht="33.75" customHeight="1" x14ac:dyDescent="0.2">
      <c r="A170" s="669" t="s">
        <v>1670</v>
      </c>
      <c r="B170" s="671" t="s">
        <v>31</v>
      </c>
      <c r="C170" s="616"/>
      <c r="D170" s="616"/>
      <c r="E170" s="616"/>
      <c r="F170" s="616"/>
      <c r="G170" s="616"/>
      <c r="H170" s="569">
        <v>785000</v>
      </c>
      <c r="I170" s="616"/>
      <c r="J170" s="616"/>
      <c r="K170" s="1671">
        <f>SUM(C170:J170)</f>
        <v>785000</v>
      </c>
      <c r="L170" s="569">
        <v>1048000</v>
      </c>
    </row>
    <row r="171" spans="1:14" ht="15.75" customHeight="1" x14ac:dyDescent="0.2">
      <c r="A171" s="621" t="s">
        <v>766</v>
      </c>
      <c r="B171" s="672" t="s">
        <v>84</v>
      </c>
      <c r="C171" s="616"/>
      <c r="D171" s="616"/>
      <c r="E171" s="466"/>
      <c r="F171" s="616"/>
      <c r="G171" s="616"/>
      <c r="H171" s="569">
        <v>1000</v>
      </c>
      <c r="I171" s="477"/>
      <c r="J171" s="616"/>
      <c r="K171" s="1671">
        <f>SUM(C171:J171)</f>
        <v>1000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1316427</v>
      </c>
      <c r="I172" s="638"/>
      <c r="J172" s="616"/>
      <c r="K172" s="1677">
        <f>SUM(K168,K169,K170,K171)</f>
        <v>1316427</v>
      </c>
      <c r="L172" s="1677">
        <f>SUM(L168,L169,L170,L171)</f>
        <v>1316927</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1316427</v>
      </c>
      <c r="I174" s="638"/>
      <c r="J174" s="616"/>
      <c r="K174" s="1677">
        <f>SUM(K160,K172,K173)</f>
        <v>1316427</v>
      </c>
      <c r="L174" s="1677">
        <f>SUM(L160,L172,L173)</f>
        <v>1316927</v>
      </c>
    </row>
    <row r="175" spans="1:14" ht="13.5" thickTop="1" x14ac:dyDescent="0.2">
      <c r="A175" s="2184" t="s">
        <v>996</v>
      </c>
      <c r="B175" s="2185"/>
      <c r="C175" s="616"/>
      <c r="D175" s="616"/>
      <c r="E175" s="616"/>
      <c r="F175" s="616"/>
      <c r="G175" s="616"/>
      <c r="H175" s="618"/>
      <c r="I175" s="616"/>
      <c r="J175" s="616"/>
      <c r="K175" s="1684">
        <f>'Revenues 9-14'!E268-'Expenditures 15-22'!K174</f>
        <v>-6269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325095</v>
      </c>
      <c r="D182" s="466">
        <v>234</v>
      </c>
      <c r="E182" s="466">
        <v>45202</v>
      </c>
      <c r="F182" s="466">
        <v>77006</v>
      </c>
      <c r="G182" s="466">
        <v>33444</v>
      </c>
      <c r="H182" s="466">
        <v>2435</v>
      </c>
      <c r="I182" s="467">
        <v>281947</v>
      </c>
      <c r="J182" s="467"/>
      <c r="K182" s="1671">
        <f>SUM(C182:J182)</f>
        <v>765363</v>
      </c>
      <c r="L182" s="466">
        <v>697340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325095</v>
      </c>
      <c r="D184" s="1677">
        <f t="shared" ref="D184:J184" si="17">SUM(D180,D182,D183)</f>
        <v>234</v>
      </c>
      <c r="E184" s="1677">
        <f t="shared" si="17"/>
        <v>45202</v>
      </c>
      <c r="F184" s="1677">
        <f t="shared" si="17"/>
        <v>77006</v>
      </c>
      <c r="G184" s="1677">
        <f t="shared" si="17"/>
        <v>33444</v>
      </c>
      <c r="H184" s="1677">
        <f t="shared" si="17"/>
        <v>2435</v>
      </c>
      <c r="I184" s="1677">
        <f t="shared" si="17"/>
        <v>281947</v>
      </c>
      <c r="J184" s="1677">
        <f t="shared" si="17"/>
        <v>0</v>
      </c>
      <c r="K184" s="1677">
        <f>SUM(K180,K182,K183)</f>
        <v>765363</v>
      </c>
      <c r="L184" s="1677">
        <f>SUM(L180, L182:L183)</f>
        <v>697340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325095</v>
      </c>
      <c r="D210" s="1670">
        <f>SUM(D184,D185)</f>
        <v>234</v>
      </c>
      <c r="E210" s="1670">
        <f>SUM(E184,E185,E196)</f>
        <v>45202</v>
      </c>
      <c r="F210" s="1670">
        <f>SUM(F184,F185)</f>
        <v>77006</v>
      </c>
      <c r="G210" s="1670">
        <f>SUM(G184,G185)</f>
        <v>33444</v>
      </c>
      <c r="H210" s="1670">
        <f>SUM(H184,H185,H196,H208,H209)</f>
        <v>2435</v>
      </c>
      <c r="I210" s="1670">
        <f>SUM(I184,I185)</f>
        <v>281947</v>
      </c>
      <c r="J210" s="1670">
        <f>SUM(J184,J185)</f>
        <v>0</v>
      </c>
      <c r="K210" s="1671">
        <f>SUM(K184,K185,K196,K208,K209)</f>
        <v>765363</v>
      </c>
      <c r="L210" s="1670">
        <f>SUM(L184,L185,L196,L208,L209)</f>
        <v>697340</v>
      </c>
    </row>
    <row r="211" spans="1:14" ht="13.5" thickTop="1" x14ac:dyDescent="0.2">
      <c r="A211" s="2184" t="s">
        <v>996</v>
      </c>
      <c r="B211" s="2185"/>
      <c r="C211" s="618"/>
      <c r="D211" s="618"/>
      <c r="E211" s="618"/>
      <c r="F211" s="618"/>
      <c r="G211" s="618"/>
      <c r="H211" s="618"/>
      <c r="I211" s="616"/>
      <c r="J211" s="616"/>
      <c r="K211" s="1684">
        <f>'Revenues 9-14'!F268-'Expenditures 15-22'!K210</f>
        <v>-151151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56763</v>
      </c>
      <c r="E215" s="616"/>
      <c r="F215" s="616"/>
      <c r="G215" s="616"/>
      <c r="H215" s="616"/>
      <c r="I215" s="616"/>
      <c r="J215" s="616"/>
      <c r="K215" s="1671">
        <f>D215</f>
        <v>56763</v>
      </c>
      <c r="L215" s="466">
        <v>55245</v>
      </c>
    </row>
    <row r="216" spans="1:14" x14ac:dyDescent="0.2">
      <c r="A216" s="1504" t="s">
        <v>163</v>
      </c>
      <c r="B216" s="614" t="s">
        <v>967</v>
      </c>
      <c r="C216" s="616"/>
      <c r="D216" s="467">
        <v>8123</v>
      </c>
      <c r="E216" s="616"/>
      <c r="F216" s="616"/>
      <c r="G216" s="616"/>
      <c r="H216" s="616"/>
      <c r="I216" s="616"/>
      <c r="J216" s="616"/>
      <c r="K216" s="1671">
        <f t="shared" ref="K216:K228" si="19">D216</f>
        <v>8123</v>
      </c>
      <c r="L216" s="466">
        <v>7760</v>
      </c>
    </row>
    <row r="217" spans="1:14" x14ac:dyDescent="0.2">
      <c r="A217" s="1504" t="s">
        <v>164</v>
      </c>
      <c r="B217" s="614">
        <v>1200</v>
      </c>
      <c r="C217" s="616"/>
      <c r="D217" s="466">
        <v>7760</v>
      </c>
      <c r="E217" s="616"/>
      <c r="F217" s="616"/>
      <c r="G217" s="616"/>
      <c r="H217" s="616"/>
      <c r="I217" s="616"/>
      <c r="J217" s="616"/>
      <c r="K217" s="1671">
        <f t="shared" si="19"/>
        <v>7760</v>
      </c>
      <c r="L217" s="466">
        <v>6335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4951</v>
      </c>
      <c r="E219" s="616"/>
      <c r="F219" s="616"/>
      <c r="G219" s="616"/>
      <c r="H219" s="616"/>
      <c r="I219" s="616"/>
      <c r="J219" s="616"/>
      <c r="K219" s="1671">
        <f t="shared" si="19"/>
        <v>4951</v>
      </c>
      <c r="L219" s="466">
        <v>5451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5364</v>
      </c>
      <c r="E223" s="616"/>
      <c r="F223" s="616"/>
      <c r="G223" s="616"/>
      <c r="H223" s="616"/>
      <c r="I223" s="616"/>
      <c r="J223" s="616"/>
      <c r="K223" s="1671">
        <f t="shared" si="19"/>
        <v>5364</v>
      </c>
      <c r="L223" s="466">
        <v>4920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v>549</v>
      </c>
      <c r="E228" s="616"/>
      <c r="F228" s="616"/>
      <c r="G228" s="616"/>
      <c r="H228" s="616"/>
      <c r="I228" s="616"/>
      <c r="J228" s="616"/>
      <c r="K228" s="1671">
        <f t="shared" si="19"/>
        <v>549</v>
      </c>
      <c r="L228" s="466">
        <v>525</v>
      </c>
    </row>
    <row r="229" spans="1:12" ht="12.75" customHeight="1" thickBot="1" x14ac:dyDescent="0.25">
      <c r="A229" s="1668" t="s">
        <v>715</v>
      </c>
      <c r="B229" s="1675" t="s">
        <v>570</v>
      </c>
      <c r="C229" s="616"/>
      <c r="D229" s="1670">
        <f>SUM(D215:D228)</f>
        <v>83510</v>
      </c>
      <c r="E229" s="616"/>
      <c r="F229" s="616"/>
      <c r="G229" s="616"/>
      <c r="H229" s="616"/>
      <c r="I229" s="616"/>
      <c r="J229" s="616"/>
      <c r="K229" s="1670">
        <f>SUM(K215:K228)</f>
        <v>83510</v>
      </c>
      <c r="L229" s="1670">
        <f>SUM(L215:L228)</f>
        <v>80236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1143</v>
      </c>
      <c r="E233" s="616"/>
      <c r="F233" s="616"/>
      <c r="G233" s="616"/>
      <c r="H233" s="616"/>
      <c r="I233" s="616"/>
      <c r="J233" s="616"/>
      <c r="K233" s="1671">
        <f t="shared" si="20"/>
        <v>1143</v>
      </c>
      <c r="L233" s="466">
        <v>980</v>
      </c>
    </row>
    <row r="234" spans="1:12" x14ac:dyDescent="0.2">
      <c r="A234" s="1504" t="s">
        <v>198</v>
      </c>
      <c r="B234" s="614">
        <v>2130</v>
      </c>
      <c r="C234" s="616"/>
      <c r="D234" s="466">
        <v>4920</v>
      </c>
      <c r="E234" s="616"/>
      <c r="F234" s="616"/>
      <c r="G234" s="616"/>
      <c r="H234" s="616"/>
      <c r="I234" s="616"/>
      <c r="J234" s="616"/>
      <c r="K234" s="1671">
        <f t="shared" si="20"/>
        <v>4920</v>
      </c>
      <c r="L234" s="466">
        <v>5900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139</v>
      </c>
      <c r="E237" s="616"/>
      <c r="F237" s="616"/>
      <c r="G237" s="616"/>
      <c r="H237" s="616"/>
      <c r="I237" s="616"/>
      <c r="J237" s="616"/>
      <c r="K237" s="1671">
        <f t="shared" si="20"/>
        <v>139</v>
      </c>
      <c r="L237" s="466">
        <v>2690</v>
      </c>
    </row>
    <row r="238" spans="1:12" ht="12.75" customHeight="1" thickBot="1" x14ac:dyDescent="0.25">
      <c r="A238" s="1668" t="s">
        <v>560</v>
      </c>
      <c r="B238" s="1675" t="s">
        <v>716</v>
      </c>
      <c r="C238" s="616"/>
      <c r="D238" s="1670">
        <f>SUM(D232:D237)</f>
        <v>6202</v>
      </c>
      <c r="E238" s="616"/>
      <c r="F238" s="616"/>
      <c r="G238" s="616"/>
      <c r="H238" s="616"/>
      <c r="I238" s="616"/>
      <c r="J238" s="616"/>
      <c r="K238" s="1670">
        <f>SUM(K232:K237)</f>
        <v>6202</v>
      </c>
      <c r="L238" s="1670">
        <f>SUM(L232:L237)</f>
        <v>9570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4204</v>
      </c>
      <c r="E241" s="616"/>
      <c r="F241" s="616"/>
      <c r="G241" s="616"/>
      <c r="H241" s="616"/>
      <c r="I241" s="616"/>
      <c r="J241" s="616"/>
      <c r="K241" s="1672">
        <f>D241</f>
        <v>4204</v>
      </c>
      <c r="L241" s="466">
        <v>4735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4204</v>
      </c>
      <c r="E243" s="616"/>
      <c r="F243" s="616"/>
      <c r="G243" s="616"/>
      <c r="H243" s="616"/>
      <c r="I243" s="616"/>
      <c r="J243" s="616"/>
      <c r="K243" s="1670">
        <f>SUM(K240:K242)</f>
        <v>4204</v>
      </c>
      <c r="L243" s="1670">
        <f>SUM(L240:L242)</f>
        <v>4735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343</v>
      </c>
      <c r="E245" s="616"/>
      <c r="F245" s="616"/>
      <c r="G245" s="616"/>
      <c r="H245" s="616"/>
      <c r="I245" s="616"/>
      <c r="J245" s="616"/>
      <c r="K245" s="1672">
        <f>D245</f>
        <v>343</v>
      </c>
      <c r="L245" s="481">
        <v>200</v>
      </c>
    </row>
    <row r="246" spans="1:12" x14ac:dyDescent="0.2">
      <c r="A246" s="1504" t="s">
        <v>818</v>
      </c>
      <c r="B246" s="614">
        <v>2320</v>
      </c>
      <c r="C246" s="616"/>
      <c r="D246" s="466">
        <v>2154</v>
      </c>
      <c r="E246" s="616"/>
      <c r="F246" s="616"/>
      <c r="G246" s="616"/>
      <c r="H246" s="616"/>
      <c r="I246" s="616"/>
      <c r="J246" s="616"/>
      <c r="K246" s="1672">
        <f t="shared" ref="K246:K256" si="21">D246</f>
        <v>2154</v>
      </c>
      <c r="L246" s="466">
        <v>2132</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2497</v>
      </c>
      <c r="E257" s="616"/>
      <c r="F257" s="616"/>
      <c r="G257" s="616"/>
      <c r="H257" s="616"/>
      <c r="I257" s="616"/>
      <c r="J257" s="616"/>
      <c r="K257" s="1670">
        <f>SUM(K245:K256)</f>
        <v>2497</v>
      </c>
      <c r="L257" s="1670">
        <f>SUM(L245:L256)</f>
        <v>2332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28520</v>
      </c>
      <c r="E259" s="616"/>
      <c r="F259" s="616"/>
      <c r="G259" s="616"/>
      <c r="H259" s="616"/>
      <c r="I259" s="616"/>
      <c r="J259" s="616"/>
      <c r="K259" s="1672">
        <f>D259</f>
        <v>28520</v>
      </c>
      <c r="L259" s="481">
        <v>31740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28520</v>
      </c>
      <c r="E261" s="616"/>
      <c r="F261" s="616"/>
      <c r="G261" s="616"/>
      <c r="H261" s="616"/>
      <c r="I261" s="616"/>
      <c r="J261" s="616"/>
      <c r="K261" s="1670">
        <f>SUM(K259:K260)</f>
        <v>28520</v>
      </c>
      <c r="L261" s="1670">
        <f>SUM(L259:L260)</f>
        <v>31740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10850</v>
      </c>
      <c r="E264" s="616"/>
      <c r="F264" s="616"/>
      <c r="G264" s="616"/>
      <c r="H264" s="616"/>
      <c r="I264" s="616"/>
      <c r="J264" s="616"/>
      <c r="K264" s="1672">
        <f t="shared" ref="K264:K269" si="22">D264</f>
        <v>10850</v>
      </c>
      <c r="L264" s="466">
        <v>12070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48373</v>
      </c>
      <c r="E266" s="616"/>
      <c r="F266" s="616"/>
      <c r="G266" s="616"/>
      <c r="H266" s="616"/>
      <c r="I266" s="616"/>
      <c r="J266" s="616"/>
      <c r="K266" s="1672">
        <f t="shared" si="22"/>
        <v>48373</v>
      </c>
      <c r="L266" s="466">
        <v>53100</v>
      </c>
    </row>
    <row r="267" spans="1:14" x14ac:dyDescent="0.2">
      <c r="A267" s="1504" t="s">
        <v>953</v>
      </c>
      <c r="B267" s="614">
        <v>2550</v>
      </c>
      <c r="C267" s="616"/>
      <c r="D267" s="466">
        <v>31187</v>
      </c>
      <c r="E267" s="616"/>
      <c r="F267" s="616"/>
      <c r="G267" s="616"/>
      <c r="H267" s="616"/>
      <c r="I267" s="616"/>
      <c r="J267" s="616"/>
      <c r="K267" s="1672">
        <f t="shared" si="22"/>
        <v>31187</v>
      </c>
      <c r="L267" s="466">
        <v>29530</v>
      </c>
    </row>
    <row r="268" spans="1:14" x14ac:dyDescent="0.2">
      <c r="A268" s="1504" t="s">
        <v>100</v>
      </c>
      <c r="B268" s="614">
        <v>2560</v>
      </c>
      <c r="C268" s="616"/>
      <c r="D268" s="466">
        <v>10392</v>
      </c>
      <c r="E268" s="616"/>
      <c r="F268" s="616"/>
      <c r="G268" s="616"/>
      <c r="H268" s="616"/>
      <c r="I268" s="616"/>
      <c r="J268" s="616"/>
      <c r="K268" s="1672">
        <f t="shared" si="22"/>
        <v>10392</v>
      </c>
      <c r="L268" s="466">
        <v>11350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100802</v>
      </c>
      <c r="E270" s="616"/>
      <c r="F270" s="616"/>
      <c r="G270" s="616"/>
      <c r="H270" s="616"/>
      <c r="I270" s="616"/>
      <c r="J270" s="616"/>
      <c r="K270" s="1670">
        <f>SUM(K263:K269)</f>
        <v>100802</v>
      </c>
      <c r="L270" s="1670">
        <f>SUM(L263:L269)</f>
        <v>106050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142225</v>
      </c>
      <c r="E279" s="616"/>
      <c r="F279" s="616"/>
      <c r="G279" s="616"/>
      <c r="H279" s="616"/>
      <c r="I279" s="616"/>
      <c r="J279" s="616"/>
      <c r="K279" s="1677">
        <f>SUM(K238,K243,K257,K261,K270,K277,K278)</f>
        <v>142225</v>
      </c>
      <c r="L279" s="1677">
        <f>SUM(L238,L243,L257,L261,L270,L277,L278)</f>
        <v>154427</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v>28994</v>
      </c>
      <c r="E283" s="616"/>
      <c r="F283" s="616"/>
      <c r="G283" s="616"/>
      <c r="H283" s="616"/>
      <c r="I283" s="616"/>
      <c r="J283" s="616"/>
      <c r="K283" s="1671">
        <f>D283</f>
        <v>28994</v>
      </c>
      <c r="L283" s="466">
        <v>28994</v>
      </c>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28994</v>
      </c>
      <c r="E285" s="616"/>
      <c r="F285" s="616"/>
      <c r="G285" s="616"/>
      <c r="H285" s="616"/>
      <c r="I285" s="616"/>
      <c r="J285" s="616"/>
      <c r="K285" s="1670">
        <f>SUM(K282:K284)</f>
        <v>28994</v>
      </c>
      <c r="L285" s="1670">
        <f>SUM(L282:L284)</f>
        <v>28994</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254729</v>
      </c>
      <c r="E295" s="616"/>
      <c r="F295" s="616"/>
      <c r="G295" s="616"/>
      <c r="H295" s="1670">
        <f>H293</f>
        <v>0</v>
      </c>
      <c r="I295" s="616"/>
      <c r="J295" s="616"/>
      <c r="K295" s="1670">
        <f>SUM(K229,K279,K280,K285,K293,K294)</f>
        <v>254729</v>
      </c>
      <c r="L295" s="1670">
        <f>SUM(L229,L279,L280,L285,L293,L294)</f>
        <v>263657</v>
      </c>
    </row>
    <row r="296" spans="1:14" ht="13.5" thickTop="1" x14ac:dyDescent="0.2">
      <c r="A296" s="2184" t="s">
        <v>996</v>
      </c>
      <c r="B296" s="2185"/>
      <c r="C296" s="616"/>
      <c r="D296" s="618"/>
      <c r="E296" s="616"/>
      <c r="F296" s="616"/>
      <c r="G296" s="616"/>
      <c r="H296" s="687"/>
      <c r="I296" s="616"/>
      <c r="J296" s="616"/>
      <c r="K296" s="1684">
        <f>'Revenues 9-14'!G268-'Expenditures 15-22'!K295</f>
        <v>75364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86156</v>
      </c>
      <c r="F301" s="466">
        <v>5459</v>
      </c>
      <c r="G301" s="466">
        <v>2994014</v>
      </c>
      <c r="H301" s="466"/>
      <c r="I301" s="467"/>
      <c r="J301" s="467"/>
      <c r="K301" s="1671">
        <f>SUM(C301:J301)</f>
        <v>3085629</v>
      </c>
      <c r="L301" s="467">
        <v>3375000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86156</v>
      </c>
      <c r="F303" s="1677">
        <f t="shared" si="23"/>
        <v>5459</v>
      </c>
      <c r="G303" s="1677">
        <f t="shared" si="23"/>
        <v>2994014</v>
      </c>
      <c r="H303" s="1677">
        <f t="shared" si="23"/>
        <v>0</v>
      </c>
      <c r="I303" s="1677">
        <f t="shared" si="23"/>
        <v>0</v>
      </c>
      <c r="J303" s="1677">
        <f t="shared" si="23"/>
        <v>0</v>
      </c>
      <c r="K303" s="1677">
        <f t="shared" si="23"/>
        <v>3085629</v>
      </c>
      <c r="L303" s="1677">
        <f t="shared" si="23"/>
        <v>3375000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86156</v>
      </c>
      <c r="F312" s="1670">
        <f>SUM(F303)</f>
        <v>5459</v>
      </c>
      <c r="G312" s="1670">
        <f>SUM(G303)</f>
        <v>2994014</v>
      </c>
      <c r="H312" s="1670">
        <f>SUM(H303,H310)</f>
        <v>0</v>
      </c>
      <c r="I312" s="1670">
        <f>SUM(I303)</f>
        <v>0</v>
      </c>
      <c r="J312" s="1670">
        <f>SUM(J303)</f>
        <v>0</v>
      </c>
      <c r="K312" s="1670">
        <f>SUM(K303,K310,K311)</f>
        <v>3085629</v>
      </c>
      <c r="L312" s="1670">
        <f>SUM(L303,L310,L311)</f>
        <v>3375000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-2993921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1103</v>
      </c>
      <c r="F321" s="467"/>
      <c r="G321" s="467"/>
      <c r="H321" s="467"/>
      <c r="I321" s="467"/>
      <c r="J321" s="467"/>
      <c r="K321" s="1671">
        <f t="shared" si="24"/>
        <v>1103</v>
      </c>
      <c r="L321" s="467">
        <v>1500</v>
      </c>
      <c r="M321" s="665"/>
      <c r="N321" s="665"/>
    </row>
    <row r="322" spans="1:14" s="674" customFormat="1" x14ac:dyDescent="0.2">
      <c r="A322" s="1519" t="s">
        <v>238</v>
      </c>
      <c r="B322" s="697" t="s">
        <v>284</v>
      </c>
      <c r="C322" s="467"/>
      <c r="D322" s="467"/>
      <c r="E322" s="467">
        <v>172571</v>
      </c>
      <c r="F322" s="467"/>
      <c r="G322" s="467"/>
      <c r="H322" s="467"/>
      <c r="I322" s="467"/>
      <c r="J322" s="467"/>
      <c r="K322" s="1671">
        <f t="shared" si="24"/>
        <v>172571</v>
      </c>
      <c r="L322" s="467">
        <v>165000</v>
      </c>
      <c r="M322" s="665"/>
      <c r="N322" s="665"/>
    </row>
    <row r="323" spans="1:14" s="674" customFormat="1" x14ac:dyDescent="0.2">
      <c r="A323" s="1519" t="s">
        <v>702</v>
      </c>
      <c r="B323" s="697" t="s">
        <v>285</v>
      </c>
      <c r="C323" s="467">
        <v>39624</v>
      </c>
      <c r="D323" s="467"/>
      <c r="E323" s="467">
        <v>6875</v>
      </c>
      <c r="F323" s="467"/>
      <c r="G323" s="467"/>
      <c r="H323" s="467"/>
      <c r="I323" s="467"/>
      <c r="J323" s="467"/>
      <c r="K323" s="1671">
        <f t="shared" si="24"/>
        <v>46499</v>
      </c>
      <c r="L323" s="467">
        <v>46524</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18394</v>
      </c>
      <c r="F325" s="467">
        <v>5890</v>
      </c>
      <c r="G325" s="467"/>
      <c r="H325" s="467"/>
      <c r="I325" s="467"/>
      <c r="J325" s="467"/>
      <c r="K325" s="1671">
        <f t="shared" si="24"/>
        <v>24284</v>
      </c>
      <c r="L325" s="467">
        <v>29700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14464</v>
      </c>
      <c r="F327" s="467"/>
      <c r="G327" s="467"/>
      <c r="H327" s="467"/>
      <c r="I327" s="467"/>
      <c r="J327" s="467"/>
      <c r="K327" s="1671">
        <f t="shared" si="24"/>
        <v>14464</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39624</v>
      </c>
      <c r="D330" s="1670">
        <f t="shared" ref="D330:J330" si="25">SUM(D319:D329)</f>
        <v>0</v>
      </c>
      <c r="E330" s="1670">
        <f t="shared" si="25"/>
        <v>213407</v>
      </c>
      <c r="F330" s="1670">
        <f t="shared" si="25"/>
        <v>5890</v>
      </c>
      <c r="G330" s="1670">
        <f t="shared" si="25"/>
        <v>0</v>
      </c>
      <c r="H330" s="1670">
        <f t="shared" si="25"/>
        <v>0</v>
      </c>
      <c r="I330" s="1670">
        <f t="shared" si="25"/>
        <v>0</v>
      </c>
      <c r="J330" s="1670">
        <f t="shared" si="25"/>
        <v>0</v>
      </c>
      <c r="K330" s="1670">
        <f>SUM(K319:K329)</f>
        <v>258921</v>
      </c>
      <c r="L330" s="1670">
        <f>SUM(L319:L329)</f>
        <v>242724</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39624</v>
      </c>
      <c r="D342" s="1670">
        <f>SUM(D330)</f>
        <v>0</v>
      </c>
      <c r="E342" s="1670">
        <f>SUM(E330)</f>
        <v>213407</v>
      </c>
      <c r="F342" s="1670">
        <f>SUM(F330)</f>
        <v>5890</v>
      </c>
      <c r="G342" s="1670">
        <f>SUM(G330)</f>
        <v>0</v>
      </c>
      <c r="H342" s="1670">
        <f>SUM(H330,H334,H340)</f>
        <v>0</v>
      </c>
      <c r="I342" s="1670">
        <f>SUM(I330)</f>
        <v>0</v>
      </c>
      <c r="J342" s="1670">
        <f>SUM(J330)</f>
        <v>0</v>
      </c>
      <c r="K342" s="1670">
        <f>SUM(K330,K334,K340)</f>
        <v>258921</v>
      </c>
      <c r="L342" s="1677">
        <f>SUM(L330,L340,L341)</f>
        <v>242724</v>
      </c>
    </row>
    <row r="343" spans="1:14" ht="12.75" customHeight="1" thickTop="1" x14ac:dyDescent="0.2">
      <c r="A343" s="2170" t="s">
        <v>996</v>
      </c>
      <c r="B343" s="2171"/>
      <c r="C343" s="616"/>
      <c r="D343" s="616"/>
      <c r="E343" s="616"/>
      <c r="F343" s="616"/>
      <c r="G343" s="616"/>
      <c r="H343" s="616"/>
      <c r="I343" s="616"/>
      <c r="J343" s="616"/>
      <c r="K343" s="1684">
        <f>'Revenues 9-14'!J268-'Expenditures 15-22'!K342</f>
        <v>27472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121401</v>
      </c>
      <c r="F348" s="466"/>
      <c r="G348" s="466"/>
      <c r="H348" s="466"/>
      <c r="I348" s="467"/>
      <c r="J348" s="467"/>
      <c r="K348" s="1671">
        <f>SUM(C348:J348)</f>
        <v>121401</v>
      </c>
      <c r="L348" s="466">
        <v>122000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121401</v>
      </c>
      <c r="F350" s="1670">
        <f t="shared" si="26"/>
        <v>0</v>
      </c>
      <c r="G350" s="1670">
        <f t="shared" si="26"/>
        <v>0</v>
      </c>
      <c r="H350" s="1670">
        <f t="shared" si="26"/>
        <v>0</v>
      </c>
      <c r="I350" s="1670">
        <f t="shared" si="26"/>
        <v>0</v>
      </c>
      <c r="J350" s="1670">
        <f t="shared" si="26"/>
        <v>0</v>
      </c>
      <c r="K350" s="1670">
        <f t="shared" si="26"/>
        <v>121401</v>
      </c>
      <c r="L350" s="1670">
        <f t="shared" si="26"/>
        <v>122000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121401</v>
      </c>
      <c r="F352" s="1670">
        <f t="shared" si="27"/>
        <v>0</v>
      </c>
      <c r="G352" s="1670">
        <f t="shared" si="27"/>
        <v>0</v>
      </c>
      <c r="H352" s="1670">
        <f t="shared" si="27"/>
        <v>0</v>
      </c>
      <c r="I352" s="1670">
        <f t="shared" si="27"/>
        <v>0</v>
      </c>
      <c r="J352" s="1670">
        <f t="shared" si="27"/>
        <v>0</v>
      </c>
      <c r="K352" s="1670">
        <f t="shared" si="27"/>
        <v>121401</v>
      </c>
      <c r="L352" s="1670">
        <f t="shared" si="27"/>
        <v>122000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121401</v>
      </c>
      <c r="F367" s="1670">
        <f t="shared" si="28"/>
        <v>0</v>
      </c>
      <c r="G367" s="1670">
        <f t="shared" si="28"/>
        <v>0</v>
      </c>
      <c r="H367" s="1670">
        <f t="shared" si="28"/>
        <v>0</v>
      </c>
      <c r="I367" s="1670">
        <f t="shared" si="28"/>
        <v>0</v>
      </c>
      <c r="J367" s="1670">
        <f t="shared" si="28"/>
        <v>0</v>
      </c>
      <c r="K367" s="1670">
        <f t="shared" si="28"/>
        <v>121401</v>
      </c>
      <c r="L367" s="1670">
        <f t="shared" si="28"/>
        <v>122000</v>
      </c>
    </row>
    <row r="368" spans="1:14" ht="13.5" thickTop="1" x14ac:dyDescent="0.2">
      <c r="A368" s="2184" t="s">
        <v>996</v>
      </c>
      <c r="B368" s="2185"/>
      <c r="C368" s="654"/>
      <c r="D368" s="654"/>
      <c r="E368" s="626"/>
      <c r="F368" s="626"/>
      <c r="G368" s="626"/>
      <c r="H368" s="626"/>
      <c r="I368" s="626"/>
      <c r="J368" s="623"/>
      <c r="K368" s="1671">
        <f>'Revenues 9-14'!K268-'Expenditures 15-22'!K367</f>
        <v>-55048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22" sqref="H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3231633</v>
      </c>
      <c r="C4" s="1524"/>
      <c r="D4" s="1752">
        <f>B4-C4</f>
        <v>3231633</v>
      </c>
      <c r="E4" s="1524">
        <v>3278647</v>
      </c>
      <c r="F4" s="1752">
        <f>E4-C4</f>
        <v>3278647</v>
      </c>
    </row>
    <row r="5" spans="1:6" ht="13.7" customHeight="1" x14ac:dyDescent="0.2">
      <c r="A5" s="715" t="s">
        <v>870</v>
      </c>
      <c r="B5" s="1750">
        <f>'Revenues 9-14'!D5</f>
        <v>656836</v>
      </c>
      <c r="C5" s="585"/>
      <c r="D5" s="1753">
        <f t="shared" ref="D5:D18" si="0">B5-C5</f>
        <v>656836</v>
      </c>
      <c r="E5" s="585">
        <v>666392</v>
      </c>
      <c r="F5" s="1753">
        <f>E5-C5</f>
        <v>666392</v>
      </c>
    </row>
    <row r="6" spans="1:6" ht="13.7" customHeight="1" x14ac:dyDescent="0.2">
      <c r="A6" s="715" t="s">
        <v>411</v>
      </c>
      <c r="B6" s="1750">
        <f>'Revenues 9-14'!E5</f>
        <v>778540</v>
      </c>
      <c r="C6" s="585"/>
      <c r="D6" s="1753">
        <f t="shared" si="0"/>
        <v>778540</v>
      </c>
      <c r="E6" s="585">
        <v>790453</v>
      </c>
      <c r="F6" s="1753">
        <f t="shared" ref="F6:F18" si="1">E6-C6</f>
        <v>790453</v>
      </c>
    </row>
    <row r="7" spans="1:6" ht="13.7" customHeight="1" x14ac:dyDescent="0.2">
      <c r="A7" s="715" t="s">
        <v>155</v>
      </c>
      <c r="B7" s="1750">
        <f>'Revenues 9-14'!F5</f>
        <v>262735</v>
      </c>
      <c r="C7" s="585"/>
      <c r="D7" s="1753">
        <f t="shared" si="0"/>
        <v>262735</v>
      </c>
      <c r="E7" s="585">
        <v>266557</v>
      </c>
      <c r="F7" s="1753">
        <f t="shared" si="1"/>
        <v>266557</v>
      </c>
    </row>
    <row r="8" spans="1:6" ht="13.7" customHeight="1" x14ac:dyDescent="0.2">
      <c r="A8" s="715" t="s">
        <v>1179</v>
      </c>
      <c r="B8" s="1750">
        <f>'Revenues 9-14'!G5</f>
        <v>194213</v>
      </c>
      <c r="C8" s="585"/>
      <c r="D8" s="1753">
        <f t="shared" si="0"/>
        <v>194213</v>
      </c>
      <c r="E8" s="585">
        <v>100012</v>
      </c>
      <c r="F8" s="1753">
        <f t="shared" si="1"/>
        <v>100012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65684</v>
      </c>
      <c r="C10" s="585"/>
      <c r="D10" s="1753">
        <f t="shared" si="0"/>
        <v>65684</v>
      </c>
      <c r="E10" s="585">
        <v>66639</v>
      </c>
      <c r="F10" s="1753">
        <f t="shared" si="1"/>
        <v>66639</v>
      </c>
    </row>
    <row r="11" spans="1:6" x14ac:dyDescent="0.2">
      <c r="A11" s="715" t="s">
        <v>409</v>
      </c>
      <c r="B11" s="1750">
        <f>'Revenues 9-14'!J5</f>
        <v>283858</v>
      </c>
      <c r="C11" s="585"/>
      <c r="D11" s="1753">
        <f t="shared" si="0"/>
        <v>283858</v>
      </c>
      <c r="E11" s="585">
        <v>315003</v>
      </c>
      <c r="F11" s="1753">
        <f t="shared" si="1"/>
        <v>315003</v>
      </c>
    </row>
    <row r="12" spans="1:6" ht="13.7" customHeight="1" x14ac:dyDescent="0.2">
      <c r="A12" s="715" t="s">
        <v>157</v>
      </c>
      <c r="B12" s="1750">
        <f>'Revenues 9-14'!K5</f>
        <v>65684</v>
      </c>
      <c r="C12" s="585"/>
      <c r="D12" s="1753">
        <f t="shared" si="0"/>
        <v>65684</v>
      </c>
      <c r="E12" s="585">
        <v>66639</v>
      </c>
      <c r="F12" s="1753">
        <f t="shared" si="1"/>
        <v>66639</v>
      </c>
    </row>
    <row r="13" spans="1:6" ht="13.7" customHeight="1" x14ac:dyDescent="0.2">
      <c r="A13" s="715" t="s">
        <v>936</v>
      </c>
      <c r="B13" s="1750">
        <f>SUM('Revenues 9-14'!C6:D6)</f>
        <v>65683</v>
      </c>
      <c r="C13" s="585"/>
      <c r="D13" s="1753">
        <f t="shared" si="0"/>
        <v>65683</v>
      </c>
      <c r="E13" s="585">
        <v>66639</v>
      </c>
      <c r="F13" s="1753">
        <f t="shared" si="1"/>
        <v>66639</v>
      </c>
    </row>
    <row r="14" spans="1:6" ht="13.7" customHeight="1" x14ac:dyDescent="0.2">
      <c r="A14" s="715" t="s">
        <v>410</v>
      </c>
      <c r="B14" s="1750">
        <f>SUM('Revenues 9-14'!C7:D7,'Revenues 9-14'!F7:H7)</f>
        <v>52547</v>
      </c>
      <c r="C14" s="585"/>
      <c r="D14" s="1753">
        <f t="shared" si="0"/>
        <v>52547</v>
      </c>
      <c r="E14" s="585">
        <v>53311</v>
      </c>
      <c r="F14" s="1753">
        <f t="shared" si="1"/>
        <v>53311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117535</v>
      </c>
      <c r="C16" s="585"/>
      <c r="D16" s="1753">
        <f t="shared" si="0"/>
        <v>117535</v>
      </c>
      <c r="E16" s="585">
        <v>175008</v>
      </c>
      <c r="F16" s="1753">
        <f t="shared" si="1"/>
        <v>175008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5774948</v>
      </c>
      <c r="C19" s="1751">
        <f>SUM(C4:C18)</f>
        <v>0</v>
      </c>
      <c r="D19" s="1751">
        <f>SUM(D4:D18)</f>
        <v>5774948</v>
      </c>
      <c r="E19" s="1751">
        <f>SUM(E4:E18)</f>
        <v>5845300</v>
      </c>
      <c r="F19" s="1751">
        <f>SUM(F4:F18)</f>
        <v>5845300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B34" sqref="B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41153</v>
      </c>
      <c r="C31" s="734">
        <v>7080000</v>
      </c>
      <c r="D31" s="735">
        <v>3</v>
      </c>
      <c r="E31" s="734">
        <v>3025000</v>
      </c>
      <c r="F31" s="734"/>
      <c r="G31" s="734"/>
      <c r="H31" s="734">
        <v>385000</v>
      </c>
      <c r="I31" s="1756">
        <f>((E31+F31)-H31)+G31</f>
        <v>2640000</v>
      </c>
      <c r="J31" s="734">
        <v>2025984</v>
      </c>
      <c r="K31" s="736"/>
    </row>
    <row r="32" spans="1:11" ht="12" customHeight="1" x14ac:dyDescent="0.2">
      <c r="A32" s="732" t="s">
        <v>2081</v>
      </c>
      <c r="B32" s="733">
        <v>42396</v>
      </c>
      <c r="C32" s="734">
        <v>2120000</v>
      </c>
      <c r="D32" s="735">
        <v>1</v>
      </c>
      <c r="E32" s="734">
        <v>2000000</v>
      </c>
      <c r="F32" s="734"/>
      <c r="G32" s="734"/>
      <c r="H32" s="734">
        <v>400000</v>
      </c>
      <c r="I32" s="1756">
        <f>((E32+F32)-H32)+G32</f>
        <v>1600000</v>
      </c>
      <c r="J32" s="734">
        <v>1600000</v>
      </c>
      <c r="K32" s="736"/>
    </row>
    <row r="33" spans="1:11" ht="12" customHeight="1" x14ac:dyDescent="0.2">
      <c r="A33" s="732" t="s">
        <v>2082</v>
      </c>
      <c r="B33" s="733">
        <v>43073</v>
      </c>
      <c r="C33" s="734">
        <v>6800000</v>
      </c>
      <c r="D33" s="735" t="s">
        <v>2083</v>
      </c>
      <c r="E33" s="734">
        <v>6800000</v>
      </c>
      <c r="F33" s="734"/>
      <c r="G33" s="734"/>
      <c r="H33" s="734"/>
      <c r="I33" s="1756">
        <f t="shared" ref="I33:I48" si="1">((E33+F33)-H33)+G33</f>
        <v>6800000</v>
      </c>
      <c r="J33" s="734">
        <v>6800000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16000000</v>
      </c>
      <c r="D49" s="745"/>
      <c r="E49" s="1756">
        <f t="shared" ref="E49:J49" si="2">SUM(E31:E48)</f>
        <v>11825000</v>
      </c>
      <c r="F49" s="1756">
        <f t="shared" si="2"/>
        <v>0</v>
      </c>
      <c r="G49" s="1756">
        <f t="shared" si="2"/>
        <v>0</v>
      </c>
      <c r="H49" s="1756">
        <f t="shared" si="2"/>
        <v>785000</v>
      </c>
      <c r="I49" s="1756">
        <f t="shared" si="2"/>
        <v>11040000</v>
      </c>
      <c r="J49" s="1756">
        <f t="shared" si="2"/>
        <v>10425984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v>3801145</v>
      </c>
      <c r="K3" s="765">
        <v>12991</v>
      </c>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52547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9013</v>
      </c>
    </row>
    <row r="8" spans="1:11" x14ac:dyDescent="0.2">
      <c r="A8" s="778" t="s">
        <v>345</v>
      </c>
      <c r="B8" s="779"/>
      <c r="C8" s="779"/>
      <c r="D8" s="779"/>
      <c r="E8" s="780"/>
      <c r="F8" s="770" t="s">
        <v>851</v>
      </c>
      <c r="G8" s="782"/>
      <c r="H8" s="782"/>
      <c r="I8" s="782"/>
      <c r="J8" s="765">
        <v>602011</v>
      </c>
      <c r="K8" s="769"/>
    </row>
    <row r="9" spans="1:11" x14ac:dyDescent="0.2">
      <c r="A9" s="778" t="s">
        <v>138</v>
      </c>
      <c r="B9" s="779"/>
      <c r="C9" s="779"/>
      <c r="D9" s="779"/>
      <c r="E9" s="780"/>
      <c r="F9" s="777" t="s">
        <v>853</v>
      </c>
      <c r="G9" s="782"/>
      <c r="H9" s="771"/>
      <c r="I9" s="771"/>
      <c r="J9" s="781"/>
      <c r="K9" s="765">
        <v>12369</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52547</v>
      </c>
      <c r="I12" s="1758">
        <f>SUM(I5:I11)</f>
        <v>0</v>
      </c>
      <c r="J12" s="1758">
        <f>SUM(J5:J11)</f>
        <v>602011</v>
      </c>
      <c r="K12" s="1758">
        <f>SUM(K5:K11)</f>
        <v>21382</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52547</v>
      </c>
      <c r="I14" s="771"/>
      <c r="J14" s="773"/>
      <c r="K14" s="765">
        <v>18894</v>
      </c>
    </row>
    <row r="15" spans="1:11" x14ac:dyDescent="0.2">
      <c r="A15" s="2217" t="s">
        <v>4</v>
      </c>
      <c r="B15" s="2217"/>
      <c r="C15" s="2217"/>
      <c r="D15" s="2217"/>
      <c r="E15" s="2245"/>
      <c r="F15" s="789" t="s">
        <v>855</v>
      </c>
      <c r="G15" s="771"/>
      <c r="H15" s="764"/>
      <c r="I15" s="764"/>
      <c r="J15" s="765">
        <v>3085629</v>
      </c>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v>524920</v>
      </c>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524920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52547</v>
      </c>
      <c r="I23" s="1758">
        <f>SUM(I14:I16,I21,I22)</f>
        <v>0</v>
      </c>
      <c r="J23" s="1758">
        <f>SUM(J14:J16,J21,J22)</f>
        <v>3610549</v>
      </c>
      <c r="K23" s="1758">
        <f>SUM(K14:K16,K21,K22)</f>
        <v>18894</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792607</v>
      </c>
      <c r="K24" s="1763">
        <f>SUM(K3,K12)-K23</f>
        <v>15479</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792607</v>
      </c>
      <c r="K26" s="1758">
        <f>K24-K25</f>
        <v>15479</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67265</v>
      </c>
      <c r="D5" s="841">
        <v>8610</v>
      </c>
      <c r="E5" s="841"/>
      <c r="F5" s="1760">
        <f>(C5+D5)-E5</f>
        <v>75875</v>
      </c>
      <c r="G5" s="837"/>
      <c r="H5" s="842"/>
      <c r="I5" s="842"/>
      <c r="J5" s="842"/>
      <c r="K5" s="793"/>
      <c r="L5" s="1769">
        <f>F5-K5</f>
        <v>75875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23432194</v>
      </c>
      <c r="D8" s="844">
        <v>1013900</v>
      </c>
      <c r="E8" s="844"/>
      <c r="F8" s="1760">
        <f>(C8+D8)-E8</f>
        <v>24446094</v>
      </c>
      <c r="G8" s="843">
        <v>50</v>
      </c>
      <c r="H8" s="765">
        <v>8344652</v>
      </c>
      <c r="I8" s="765">
        <v>479817</v>
      </c>
      <c r="J8" s="765"/>
      <c r="K8" s="1769">
        <f>(H8+I8)-J8</f>
        <v>8824469</v>
      </c>
      <c r="L8" s="1769">
        <f>F8-K8</f>
        <v>15621625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3201703</v>
      </c>
      <c r="D10" s="846">
        <v>2296923</v>
      </c>
      <c r="E10" s="846"/>
      <c r="F10" s="1764">
        <f>(C10+D10)-E10</f>
        <v>5498626</v>
      </c>
      <c r="G10" s="843">
        <v>20</v>
      </c>
      <c r="H10" s="847">
        <v>512952</v>
      </c>
      <c r="I10" s="847">
        <v>226330</v>
      </c>
      <c r="J10" s="847"/>
      <c r="K10" s="1769">
        <f>(H10+I10)-J10</f>
        <v>739282</v>
      </c>
      <c r="L10" s="1769">
        <f>F10-K10</f>
        <v>4759344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1052268</v>
      </c>
      <c r="D12" s="844">
        <v>74743</v>
      </c>
      <c r="E12" s="844"/>
      <c r="F12" s="1760">
        <f>(C12+D12)-E12</f>
        <v>1127011</v>
      </c>
      <c r="G12" s="843">
        <v>10</v>
      </c>
      <c r="H12" s="765">
        <v>645558</v>
      </c>
      <c r="I12" s="765">
        <v>64589</v>
      </c>
      <c r="J12" s="765"/>
      <c r="K12" s="1769">
        <f>(H12+I12)-J12</f>
        <v>710147</v>
      </c>
      <c r="L12" s="1769">
        <f>F12-K12</f>
        <v>416864</v>
      </c>
    </row>
    <row r="13" spans="1:14" ht="14.25" thickTop="1" thickBot="1" x14ac:dyDescent="0.25">
      <c r="A13" s="848" t="s">
        <v>1122</v>
      </c>
      <c r="B13" s="840">
        <v>252</v>
      </c>
      <c r="C13" s="844">
        <v>152349</v>
      </c>
      <c r="D13" s="844"/>
      <c r="E13" s="844"/>
      <c r="F13" s="1760">
        <f>(C13+D13)-E13</f>
        <v>152349</v>
      </c>
      <c r="G13" s="843">
        <v>5</v>
      </c>
      <c r="H13" s="765">
        <v>105374</v>
      </c>
      <c r="I13" s="765">
        <v>19331</v>
      </c>
      <c r="J13" s="765"/>
      <c r="K13" s="1769">
        <f>(H13+I13)-J13</f>
        <v>124705</v>
      </c>
      <c r="L13" s="1769">
        <f>F13-K13</f>
        <v>27644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27905779</v>
      </c>
      <c r="D16" s="1760">
        <f>SUM(D3,D5:D6,D8:D10,D12:D15)</f>
        <v>3394176</v>
      </c>
      <c r="E16" s="1760">
        <f>SUM(E3,E5:E6,E8:E10,E12:E15)</f>
        <v>0</v>
      </c>
      <c r="F16" s="1760">
        <f>SUM(F3,F5:F6,F8:F10,F12:F15)</f>
        <v>31299955</v>
      </c>
      <c r="G16" s="843"/>
      <c r="H16" s="1760">
        <f>SUM(H3,H6,H8:H10,H12:H14,)</f>
        <v>9608536</v>
      </c>
      <c r="I16" s="1760">
        <f>SUM(I3,I6,I8:I10,I12:I14,)</f>
        <v>790067</v>
      </c>
      <c r="J16" s="1760">
        <f>SUM(J3,J6,J8:J10,J12:J14,)</f>
        <v>0</v>
      </c>
      <c r="K16" s="1760">
        <f>(H16+I16)-J16</f>
        <v>10398603</v>
      </c>
      <c r="L16" s="1760">
        <f>F16-K16</f>
        <v>20901352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390677</v>
      </c>
      <c r="G17" s="837">
        <v>10</v>
      </c>
      <c r="H17" s="769"/>
      <c r="I17" s="1769">
        <f>F17/G17</f>
        <v>39067.699999999997</v>
      </c>
      <c r="J17" s="769"/>
      <c r="K17" s="795"/>
      <c r="L17" s="795"/>
    </row>
    <row r="18" spans="1:12" ht="14.25" thickTop="1" thickBot="1" x14ac:dyDescent="0.25">
      <c r="A18" s="1767" t="s">
        <v>685</v>
      </c>
      <c r="B18" s="1768"/>
      <c r="C18" s="771"/>
      <c r="D18" s="771"/>
      <c r="E18" s="771"/>
      <c r="F18" s="850"/>
      <c r="G18" s="851"/>
      <c r="H18" s="773"/>
      <c r="I18" s="1760">
        <f>SUM(I16,I17)</f>
        <v>829134.7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2" activePane="bottomLeft" state="frozen"/>
      <selection activeCell="A47" sqref="A47"/>
      <selection pane="bottomLeft" activeCell="I72" sqref="I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6665428</v>
      </c>
      <c r="G8" s="865"/>
    </row>
    <row r="9" spans="1:7" x14ac:dyDescent="0.2">
      <c r="A9" s="869" t="s">
        <v>460</v>
      </c>
      <c r="B9" s="870" t="s">
        <v>1876</v>
      </c>
      <c r="C9" s="871"/>
      <c r="D9" s="869" t="s">
        <v>501</v>
      </c>
      <c r="E9" s="868"/>
      <c r="F9" s="1909">
        <f>'Expenditures 15-22'!K151</f>
        <v>1147062</v>
      </c>
      <c r="G9" s="872"/>
    </row>
    <row r="10" spans="1:7" x14ac:dyDescent="0.2">
      <c r="A10" s="869" t="s">
        <v>499</v>
      </c>
      <c r="B10" s="870" t="s">
        <v>1877</v>
      </c>
      <c r="C10" s="871"/>
      <c r="D10" s="869" t="s">
        <v>501</v>
      </c>
      <c r="E10" s="868"/>
      <c r="F10" s="1909">
        <f>'Expenditures 15-22'!K174</f>
        <v>1316427</v>
      </c>
      <c r="G10" s="872"/>
    </row>
    <row r="11" spans="1:7" x14ac:dyDescent="0.2">
      <c r="A11" s="869" t="s">
        <v>461</v>
      </c>
      <c r="B11" s="870" t="s">
        <v>1878</v>
      </c>
      <c r="C11" s="871"/>
      <c r="D11" s="869" t="s">
        <v>501</v>
      </c>
      <c r="E11" s="868"/>
      <c r="F11" s="1909">
        <f>'Expenditures 15-22'!K210</f>
        <v>765363</v>
      </c>
      <c r="G11" s="872"/>
    </row>
    <row r="12" spans="1:7" x14ac:dyDescent="0.2">
      <c r="A12" s="869" t="s">
        <v>462</v>
      </c>
      <c r="B12" s="870" t="s">
        <v>1879</v>
      </c>
      <c r="C12" s="871"/>
      <c r="D12" s="869" t="s">
        <v>501</v>
      </c>
      <c r="E12" s="868"/>
      <c r="F12" s="1909">
        <f>'Expenditures 15-22'!K295</f>
        <v>254729</v>
      </c>
      <c r="G12" s="872"/>
    </row>
    <row r="13" spans="1:7" x14ac:dyDescent="0.2">
      <c r="A13" s="869" t="s">
        <v>106</v>
      </c>
      <c r="B13" s="870" t="s">
        <v>1880</v>
      </c>
      <c r="C13" s="871"/>
      <c r="D13" s="869" t="s">
        <v>501</v>
      </c>
      <c r="E13" s="868"/>
      <c r="F13" s="1909">
        <f>'Expenditures 15-22'!K342</f>
        <v>258921</v>
      </c>
      <c r="G13" s="873"/>
    </row>
    <row r="14" spans="1:7" ht="12" customHeight="1" thickBot="1" x14ac:dyDescent="0.25">
      <c r="A14" s="1770"/>
      <c r="B14" s="1771"/>
      <c r="C14" s="1772"/>
      <c r="D14" s="1773" t="s">
        <v>501</v>
      </c>
      <c r="E14" s="1774" t="s">
        <v>958</v>
      </c>
      <c r="F14" s="1775">
        <f>SUM(F8:F13)</f>
        <v>10407930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3462</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199094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478728</v>
      </c>
      <c r="G53" s="865"/>
    </row>
    <row r="54" spans="1:7" x14ac:dyDescent="0.2">
      <c r="A54" s="869" t="s">
        <v>459</v>
      </c>
      <c r="B54" s="869" t="s">
        <v>1476</v>
      </c>
      <c r="C54" s="889" t="s">
        <v>982</v>
      </c>
      <c r="D54" s="885" t="s">
        <v>1095</v>
      </c>
      <c r="E54" s="868"/>
      <c r="F54" s="1913">
        <f>'Expenditures 15-22'!G114</f>
        <v>15330</v>
      </c>
      <c r="G54" s="865"/>
    </row>
    <row r="55" spans="1:7" x14ac:dyDescent="0.2">
      <c r="A55" s="869" t="s">
        <v>459</v>
      </c>
      <c r="B55" s="869" t="s">
        <v>1477</v>
      </c>
      <c r="C55" s="889" t="s">
        <v>982</v>
      </c>
      <c r="D55" s="885" t="s">
        <v>291</v>
      </c>
      <c r="E55" s="868"/>
      <c r="F55" s="1913">
        <f>'Expenditures 15-22'!I114</f>
        <v>108730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351388</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785000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33444</v>
      </c>
      <c r="G65" s="865"/>
    </row>
    <row r="66" spans="1:8" x14ac:dyDescent="0.2">
      <c r="A66" s="869" t="s">
        <v>461</v>
      </c>
      <c r="B66" s="869" t="s">
        <v>1890</v>
      </c>
      <c r="C66" s="886" t="s">
        <v>982</v>
      </c>
      <c r="D66" s="885" t="s">
        <v>291</v>
      </c>
      <c r="E66" s="868"/>
      <c r="F66" s="1913">
        <f>'Expenditures 15-22'!I210</f>
        <v>281947</v>
      </c>
      <c r="G66" s="865"/>
    </row>
    <row r="67" spans="1:8" x14ac:dyDescent="0.2">
      <c r="A67" s="869" t="s">
        <v>462</v>
      </c>
      <c r="B67" s="869" t="s">
        <v>1891</v>
      </c>
      <c r="C67" s="886" t="str">
        <f>'Expenditures 15-22'!B216</f>
        <v>1125</v>
      </c>
      <c r="D67" s="892" t="str">
        <f>'Expenditures 15-22'!A216</f>
        <v>Pre-K Programs</v>
      </c>
      <c r="E67" s="868"/>
      <c r="F67" s="1913">
        <f>'Expenditures 15-22'!K216</f>
        <v>8123</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28994</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2294240</v>
      </c>
      <c r="G76" s="865"/>
    </row>
    <row r="77" spans="1:8" s="893" customFormat="1" ht="12" customHeight="1" thickTop="1" thickBot="1" x14ac:dyDescent="0.25">
      <c r="A77" s="1779"/>
      <c r="B77" s="1776"/>
      <c r="C77" s="1772"/>
      <c r="D77" s="1777" t="s">
        <v>1899</v>
      </c>
      <c r="E77" s="1774"/>
      <c r="F77" s="1780">
        <f>(F14-F76)</f>
        <v>8113690</v>
      </c>
      <c r="G77" s="869"/>
    </row>
    <row r="78" spans="1:8" s="893" customFormat="1" ht="12" customHeight="1" thickTop="1" x14ac:dyDescent="0.2">
      <c r="A78" s="1781"/>
      <c r="B78" s="1776"/>
      <c r="C78" s="1772"/>
      <c r="D78" s="1777" t="s">
        <v>2060</v>
      </c>
      <c r="E78" s="1774"/>
      <c r="F78" s="898">
        <v>829.4</v>
      </c>
      <c r="G78" s="899"/>
      <c r="H78" s="869"/>
    </row>
    <row r="79" spans="1:8" s="893" customFormat="1" ht="12" customHeight="1" thickBot="1" x14ac:dyDescent="0.25">
      <c r="A79" s="1782"/>
      <c r="B79" s="1776"/>
      <c r="C79" s="1772"/>
      <c r="D79" s="1777" t="s">
        <v>1900</v>
      </c>
      <c r="E79" s="1774" t="s">
        <v>958</v>
      </c>
      <c r="F79" s="1783">
        <f>IF(F78&gt;0,F77/F78," Complete Line 78")</f>
        <v>9782.6018808777426</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97489</v>
      </c>
      <c r="G94" s="912"/>
    </row>
    <row r="95" spans="1:7" x14ac:dyDescent="0.2">
      <c r="A95" s="908" t="s">
        <v>140</v>
      </c>
      <c r="B95" s="908" t="s">
        <v>175</v>
      </c>
      <c r="C95" s="910">
        <v>1700</v>
      </c>
      <c r="D95" s="918" t="str">
        <f>'Revenues 9-14'!A82</f>
        <v>Total District/School Activity Income</v>
      </c>
      <c r="E95" s="906"/>
      <c r="F95" s="1789">
        <f>SUM('Revenues 9-14'!C82,'Revenues 9-14'!D82)</f>
        <v>124442</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5341</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4024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12369</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343171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1500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224366</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61574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217377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18762</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6364</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1116779</v>
      </c>
    </row>
    <row r="175" spans="1:7" ht="12" customHeight="1" x14ac:dyDescent="0.2">
      <c r="A175" s="1770"/>
      <c r="B175" s="1784"/>
      <c r="C175" s="1785"/>
      <c r="D175" s="1786" t="s">
        <v>2055</v>
      </c>
      <c r="E175" s="1787"/>
      <c r="F175" s="1789">
        <f>'PCTC-OEPP 27-28'!F77-F174</f>
        <v>6996911</v>
      </c>
    </row>
    <row r="176" spans="1:7" ht="12" customHeight="1" x14ac:dyDescent="0.2">
      <c r="A176" s="1770"/>
      <c r="B176" s="1784"/>
      <c r="C176" s="1785"/>
      <c r="D176" s="1786" t="s">
        <v>1817</v>
      </c>
      <c r="E176" s="1787"/>
      <c r="F176" s="1789">
        <f>'Cap Outlay Deprec 26'!I18</f>
        <v>829134.7</v>
      </c>
    </row>
    <row r="177" spans="1:7" ht="12" customHeight="1" x14ac:dyDescent="0.2">
      <c r="A177" s="1770"/>
      <c r="B177" s="1784"/>
      <c r="C177" s="1785"/>
      <c r="D177" s="1786" t="s">
        <v>2056</v>
      </c>
      <c r="E177" s="1787"/>
      <c r="F177" s="1789">
        <f>F175+F176</f>
        <v>7826045.7000000002</v>
      </c>
    </row>
    <row r="178" spans="1:7" ht="12" customHeight="1" x14ac:dyDescent="0.2">
      <c r="A178" s="1770"/>
      <c r="B178" s="1790"/>
      <c r="C178" s="1785"/>
      <c r="D178" s="1786" t="str">
        <f>D78</f>
        <v>9 Month ADA from District Average Daily Attendance/Prior General State Aid Inquiry 2018-2019</v>
      </c>
      <c r="E178" s="1787"/>
      <c r="F178" s="1791">
        <f>'PCTC-OEPP 27-28'!F78</f>
        <v>829.4</v>
      </c>
      <c r="G178" s="930"/>
    </row>
    <row r="179" spans="1:7" ht="12" customHeight="1" thickBot="1" x14ac:dyDescent="0.25">
      <c r="A179" s="1770"/>
      <c r="B179" s="1790"/>
      <c r="C179" s="1785"/>
      <c r="D179" s="1786" t="s">
        <v>2057</v>
      </c>
      <c r="E179" s="1787" t="s">
        <v>1545</v>
      </c>
      <c r="F179" s="1792">
        <f>F177/F178</f>
        <v>9435.7917771883294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1" sqref="D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534" t="s">
        <v>1819</v>
      </c>
      <c r="B6" s="1535"/>
      <c r="C6" s="1535"/>
      <c r="D6" s="1535"/>
      <c r="E6" s="1535"/>
      <c r="F6" s="1535"/>
      <c r="G6" s="1536"/>
    </row>
    <row r="7" spans="1:7" ht="30.75" customHeight="1" x14ac:dyDescent="0.25">
      <c r="A7" s="2279" t="s">
        <v>1931</v>
      </c>
      <c r="B7" s="2280"/>
      <c r="C7" s="2280"/>
      <c r="D7" s="2280"/>
      <c r="E7" s="2280"/>
      <c r="F7" s="2280"/>
      <c r="G7" s="2281"/>
    </row>
    <row r="8" spans="1:7" ht="15.75" customHeight="1" x14ac:dyDescent="0.25">
      <c r="A8" s="2282" t="s">
        <v>1906</v>
      </c>
      <c r="B8" s="2283"/>
      <c r="C8" s="2283"/>
      <c r="D8" s="2283"/>
      <c r="E8" s="2283"/>
      <c r="F8" s="2283"/>
      <c r="G8" s="2284"/>
    </row>
    <row r="9" spans="1:7" ht="35.25" customHeight="1" x14ac:dyDescent="0.25">
      <c r="A9" s="2279" t="s">
        <v>2063</v>
      </c>
      <c r="B9" s="2280"/>
      <c r="C9" s="2280"/>
      <c r="D9" s="2280"/>
      <c r="E9" s="2280"/>
      <c r="F9" s="2280"/>
      <c r="G9" s="2281"/>
    </row>
    <row r="10" spans="1:7" ht="15" customHeight="1" x14ac:dyDescent="0.25">
      <c r="A10" s="1537" t="s">
        <v>1820</v>
      </c>
      <c r="B10" s="1538"/>
      <c r="C10" s="1538"/>
      <c r="D10" s="1538"/>
      <c r="E10" s="1538"/>
      <c r="F10" s="1538"/>
      <c r="G10" s="1539"/>
    </row>
    <row r="11" spans="1:7" ht="17.25" customHeight="1" x14ac:dyDescent="0.25">
      <c r="A11" s="2279" t="s">
        <v>1933</v>
      </c>
      <c r="B11" s="2280"/>
      <c r="C11" s="2280"/>
      <c r="D11" s="2280"/>
      <c r="E11" s="2280"/>
      <c r="F11" s="2280"/>
      <c r="G11" s="2281"/>
    </row>
    <row r="12" spans="1:7" ht="15" customHeight="1" x14ac:dyDescent="0.25">
      <c r="A12" s="1537" t="s">
        <v>1825</v>
      </c>
      <c r="B12" s="1538"/>
      <c r="C12" s="1538"/>
      <c r="D12" s="1538"/>
      <c r="E12" s="1538"/>
      <c r="F12" s="1538"/>
      <c r="G12" s="1539"/>
    </row>
    <row r="13" spans="1:7" ht="32.25" customHeight="1" x14ac:dyDescent="0.25">
      <c r="A13" s="2270" t="s">
        <v>1974</v>
      </c>
      <c r="B13" s="2271"/>
      <c r="C13" s="2271"/>
      <c r="D13" s="2271"/>
      <c r="E13" s="2271"/>
      <c r="F13" s="2271"/>
      <c r="G13" s="227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2091</v>
      </c>
      <c r="B17" s="1941" t="s">
        <v>2120</v>
      </c>
      <c r="C17" s="1939" t="s">
        <v>2092</v>
      </c>
      <c r="D17" s="1844">
        <v>6000</v>
      </c>
      <c r="E17" s="1540">
        <f t="shared" ref="E17:E141" si="0">IF(D17&lt;=25000,D17,IF(D17&gt;25000,25000,0))</f>
        <v>6000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7"/>
      <c r="B18" s="1938"/>
      <c r="C18" s="1939"/>
      <c r="D18" s="1844"/>
      <c r="E18" s="1540">
        <f t="shared" ref="E18:E140" si="2">IF(D18&lt;=25000,D18,IF(D18&gt;25000,25000,0))</f>
        <v>0</v>
      </c>
      <c r="F18" s="1932">
        <f t="shared" si="1"/>
        <v>0</v>
      </c>
      <c r="G18" s="1793">
        <f t="shared" ref="G18:G140" si="3">IF(F18=0,0,D18-F18)</f>
        <v>0</v>
      </c>
    </row>
    <row r="19" spans="1:8" x14ac:dyDescent="0.25">
      <c r="A19" s="1943"/>
      <c r="B19" s="1941"/>
      <c r="C19" s="1942"/>
      <c r="D19" s="1844"/>
      <c r="E19" s="1540">
        <f t="shared" si="2"/>
        <v>0</v>
      </c>
      <c r="F19" s="1932">
        <f t="shared" si="1"/>
        <v>0</v>
      </c>
      <c r="G19" s="1793">
        <f t="shared" si="3"/>
        <v>0</v>
      </c>
    </row>
    <row r="20" spans="1:8" x14ac:dyDescent="0.25">
      <c r="A20" s="1943"/>
      <c r="B20" s="1941"/>
      <c r="C20" s="1942"/>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6000</v>
      </c>
      <c r="E141" s="1541">
        <f t="shared" si="0"/>
        <v>6000</v>
      </c>
      <c r="F141" s="1933">
        <f>SUM(F17:F140)</f>
        <v>0</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0" t="s">
        <v>1975</v>
      </c>
      <c r="B11" s="2291"/>
      <c r="C11" s="2291"/>
      <c r="D11" s="2292"/>
      <c r="E11" s="977">
        <v>29764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4728243</v>
      </c>
      <c r="F19" s="1799"/>
      <c r="G19" s="1801">
        <f>'Expenditures 15-22'!K33-SUM('Expenditures 15-22'!G33,'Expenditures 15-22'!I33)+'Expenditures 15-22'!D229</f>
        <v>4728243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141090</v>
      </c>
      <c r="F21" s="1802"/>
      <c r="G21" s="1805">
        <f>'Expenditures 15-22'!K42-SUM('Expenditures 15-22'!G42,'Expenditures 15-22'!I42)+'Expenditures 15-22'!K120-SUM('Expenditures 15-22'!G120,'Expenditures 15-22'!I120)+'Expenditures 15-22'!K180-SUM('Expenditures 15-22'!G180,'Expenditures 15-22'!I180)+'Expenditures 15-22'!D238</f>
        <v>141090</v>
      </c>
      <c r="H21" s="987"/>
      <c r="I21" s="162"/>
    </row>
    <row r="22" spans="1:9" s="668" customFormat="1" ht="12" customHeight="1" x14ac:dyDescent="0.2">
      <c r="A22" s="994" t="s">
        <v>564</v>
      </c>
      <c r="B22" s="995"/>
      <c r="C22" s="993">
        <v>2200</v>
      </c>
      <c r="D22" s="1802"/>
      <c r="E22" s="1804">
        <f>'Expenditures 15-22'!K47-SUM('Expenditures 15-22'!G47,'Expenditures 15-22'!I47)+'Expenditures 15-22'!D243</f>
        <v>43199</v>
      </c>
      <c r="F22" s="1802"/>
      <c r="G22" s="1805">
        <f>'Expenditures 15-22'!K47-SUM('Expenditures 15-22'!G47,'Expenditures 15-22'!I47)+'Expenditures 15-22'!D243</f>
        <v>43199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541659</v>
      </c>
      <c r="F23" s="1802"/>
      <c r="G23" s="1804">
        <f>'Expenditures 15-22'!K53-SUM('Expenditures 15-22'!G53,'Expenditures 15-22'!I53)+'Expenditures 15-22'!D257+'Expenditures 15-22'!K330-SUM('Expenditures 15-22'!G330,'Expenditures 15-22'!I330)</f>
        <v>541659</v>
      </c>
      <c r="H23" s="987"/>
      <c r="I23" s="162"/>
    </row>
    <row r="24" spans="1:9" s="668" customFormat="1" ht="12" customHeight="1" x14ac:dyDescent="0.2">
      <c r="A24" s="994" t="s">
        <v>566</v>
      </c>
      <c r="B24" s="995"/>
      <c r="C24" s="993">
        <v>2400</v>
      </c>
      <c r="D24" s="1802"/>
      <c r="E24" s="1804">
        <f>'Expenditures 15-22'!K57-SUM('Expenditures 15-22'!G57,'Expenditures 15-22'!I57)+'Expenditures 15-22'!D261</f>
        <v>634029</v>
      </c>
      <c r="F24" s="1802"/>
      <c r="G24" s="1805">
        <f>'Expenditures 15-22'!K57-SUM('Expenditures 15-22'!G57,'Expenditures 15-22'!I57)+'Expenditures 15-22'!D261</f>
        <v>634029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84780</v>
      </c>
      <c r="E27" s="1804">
        <f>E8</f>
        <v>0</v>
      </c>
      <c r="F27" s="1804">
        <f>'Expenditures 15-22'!K60-SUM('Expenditures 15-22'!G60,'Expenditures 15-22'!I60)+'Expenditures 15-22'!D264-E8</f>
        <v>84780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844047</v>
      </c>
      <c r="F28" s="1806">
        <f>'Expenditures 15-22'!K61-SUM('Expenditures 15-22'!G61,'Expenditures 15-22'!I61)+'Expenditures 15-22'!K124-SUM('Expenditures 15-22'!G124,'Expenditures 15-22'!I124)+'Expenditures 15-22'!D266-E9</f>
        <v>844047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481159</v>
      </c>
      <c r="F29" s="1802"/>
      <c r="G29" s="1805">
        <f>'Expenditures 15-22'!K62-SUM('Expenditures 15-22'!G62,'Expenditures 15-22'!I62)+'Expenditures 15-22'!K125-SUM('Expenditures 15-22'!G125,'Expenditures 15-22'!I125)+'Expenditures 15-22'!K182-SUM('Expenditures 15-22'!G182,'Expenditures 15-22'!I182)+'Expenditures 15-22'!D267</f>
        <v>481159</v>
      </c>
      <c r="H29" s="985"/>
    </row>
    <row r="30" spans="1:9" ht="12" customHeight="1" x14ac:dyDescent="0.2">
      <c r="A30" s="994" t="s">
        <v>100</v>
      </c>
      <c r="B30" s="997"/>
      <c r="C30" s="993">
        <v>2560</v>
      </c>
      <c r="D30" s="1802"/>
      <c r="E30" s="1804">
        <f>'Expenditures 15-22'!K63-SUM('Expenditures 15-22'!G63,'Expenditures 15-22'!I63)+'Expenditures 15-22'!D268-E10</f>
        <v>274191</v>
      </c>
      <c r="F30" s="1802"/>
      <c r="G30" s="1804">
        <f>'Expenditures 15-22'!K63-SUM('Expenditures 15-22'!G63,'Expenditures 15-22'!I63)+'Expenditures 15-22'!D268-E10</f>
        <v>274191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20545</v>
      </c>
      <c r="E37" s="1804">
        <f>E14</f>
        <v>0</v>
      </c>
      <c r="F37" s="1804">
        <f>'Expenditures 15-22'!K71-SUM('Expenditures 15-22'!G71,'Expenditures 15-22'!I71)+'Expenditures 15-22'!D276-E14</f>
        <v>20545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105325</v>
      </c>
      <c r="E41" s="1806">
        <f>SUM(E19:E40)</f>
        <v>7687617</v>
      </c>
      <c r="F41" s="1806">
        <f>SUM(F19:F39)</f>
        <v>949372</v>
      </c>
      <c r="G41" s="1806">
        <f>SUM(G19:G40)</f>
        <v>6843570</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105325</v>
      </c>
      <c r="F43" s="1807" t="s">
        <v>473</v>
      </c>
      <c r="G43" s="1808">
        <f>F41</f>
        <v>949372</v>
      </c>
    </row>
    <row r="44" spans="1:7" ht="12" customHeight="1" x14ac:dyDescent="0.2">
      <c r="A44" s="987"/>
      <c r="B44" s="162"/>
      <c r="C44" s="1001"/>
      <c r="D44" s="1807" t="s">
        <v>474</v>
      </c>
      <c r="E44" s="1808">
        <f>E41</f>
        <v>7687617</v>
      </c>
      <c r="F44" s="1807" t="s">
        <v>474</v>
      </c>
      <c r="G44" s="1808">
        <f>G41</f>
        <v>6843570</v>
      </c>
    </row>
    <row r="45" spans="1:7" ht="12" customHeight="1" x14ac:dyDescent="0.2">
      <c r="A45" s="987"/>
      <c r="B45" s="162"/>
      <c r="C45" s="162"/>
      <c r="D45" s="1809" t="s">
        <v>1006</v>
      </c>
      <c r="E45" s="1810">
        <f>(E43/E44)</f>
        <v>1.3700604491612941E-2</v>
      </c>
      <c r="F45" s="1809" t="s">
        <v>1006</v>
      </c>
      <c r="G45" s="1810">
        <f>(G43/G44)</f>
        <v>0.13872467147994394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3" activePane="bottomLeft" state="frozen"/>
      <selection activeCell="A47" sqref="A47"/>
      <selection pane="bottomLeft" activeCell="H35" sqref="H3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Argenta-Oreana CUSD 1</v>
      </c>
      <c r="D6" s="2300"/>
      <c r="E6" s="2300"/>
      <c r="F6" s="1852"/>
    </row>
    <row r="7" spans="1:10" ht="11.25" customHeight="1" thickBot="1" x14ac:dyDescent="0.3">
      <c r="A7" s="1850"/>
      <c r="B7" s="1851"/>
      <c r="C7" s="2301">
        <f>COVER!A13</f>
        <v>39055001026</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2084</v>
      </c>
      <c r="D13" s="1865" t="s">
        <v>2084</v>
      </c>
      <c r="E13" s="1868" t="s">
        <v>2084</v>
      </c>
      <c r="F13" s="1867" t="s">
        <v>2085</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2084</v>
      </c>
      <c r="D15" s="1865" t="s">
        <v>2084</v>
      </c>
      <c r="E15" s="1868" t="s">
        <v>2084</v>
      </c>
      <c r="F15" s="1867" t="s">
        <v>2086</v>
      </c>
      <c r="H15" s="1878">
        <f t="shared" si="0"/>
        <v>5</v>
      </c>
      <c r="I15" s="1878">
        <f t="shared" si="1"/>
        <v>5</v>
      </c>
      <c r="J15" s="1878">
        <f t="shared" si="2"/>
        <v>5</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2084</v>
      </c>
      <c r="D25" s="1865" t="s">
        <v>2084</v>
      </c>
      <c r="E25" s="1868" t="s">
        <v>2084</v>
      </c>
      <c r="F25" s="1867" t="s">
        <v>2087</v>
      </c>
      <c r="H25" s="1878">
        <f t="shared" si="0"/>
        <v>5</v>
      </c>
      <c r="I25" s="1878">
        <f t="shared" si="1"/>
        <v>5</v>
      </c>
      <c r="J25" s="1878">
        <f t="shared" si="2"/>
        <v>5</v>
      </c>
    </row>
    <row r="26" spans="1:12" ht="12" customHeight="1" x14ac:dyDescent="0.2">
      <c r="A26" s="1863" t="s">
        <v>1534</v>
      </c>
      <c r="B26" s="1864"/>
      <c r="C26" s="1865" t="s">
        <v>2084</v>
      </c>
      <c r="D26" s="1865" t="s">
        <v>2084</v>
      </c>
      <c r="E26" s="1868" t="s">
        <v>2084</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2084</v>
      </c>
      <c r="D31" s="1865" t="s">
        <v>2084</v>
      </c>
      <c r="E31" s="1868" t="s">
        <v>2084</v>
      </c>
      <c r="F31" s="1867" t="s">
        <v>2089</v>
      </c>
      <c r="H31" s="1878">
        <f t="shared" si="0"/>
        <v>5</v>
      </c>
      <c r="I31" s="1878">
        <f t="shared" si="1"/>
        <v>5</v>
      </c>
      <c r="J31" s="1878">
        <f t="shared" si="2"/>
        <v>5</v>
      </c>
      <c r="L31" s="1869"/>
    </row>
    <row r="32" spans="1:12" ht="12" customHeight="1" x14ac:dyDescent="0.2">
      <c r="A32" s="1863" t="s">
        <v>1540</v>
      </c>
      <c r="B32" s="1864"/>
      <c r="C32" s="1865" t="s">
        <v>2084</v>
      </c>
      <c r="D32" s="1865" t="s">
        <v>2084</v>
      </c>
      <c r="E32" s="1868" t="s">
        <v>2084</v>
      </c>
      <c r="F32" s="1867" t="s">
        <v>2090</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30</v>
      </c>
      <c r="J34" s="1878">
        <f>SUM(J11:J32)</f>
        <v>30</v>
      </c>
      <c r="K34" s="1878">
        <f>SUM(H34:J34)</f>
        <v>90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Argenta-Oreana CUSD 1</v>
      </c>
      <c r="J6" s="2321"/>
      <c r="Q6" s="1664"/>
    </row>
    <row r="7" spans="1:17" x14ac:dyDescent="0.2">
      <c r="A7" s="2322" t="s">
        <v>869</v>
      </c>
      <c r="B7" s="2323"/>
      <c r="C7" s="2323"/>
      <c r="D7" s="2323"/>
      <c r="E7" s="2324"/>
      <c r="F7" s="1017"/>
      <c r="G7" s="1009"/>
      <c r="H7" s="1016" t="s">
        <v>372</v>
      </c>
      <c r="I7" s="2325">
        <f>COVER!A13</f>
        <v>39055001026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133534</v>
      </c>
      <c r="F12" s="1039"/>
      <c r="G12" s="1811">
        <f t="shared" ref="G12:G18" si="0">SUM(E12:F12)</f>
        <v>133534</v>
      </c>
      <c r="H12" s="1040">
        <v>137739</v>
      </c>
      <c r="I12" s="1039"/>
      <c r="J12" s="1811">
        <f t="shared" ref="J12:J18" si="1">SUM(H12:I12)</f>
        <v>137739</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133534</v>
      </c>
      <c r="F19" s="1813">
        <f t="shared" si="2"/>
        <v>0</v>
      </c>
      <c r="G19" s="1813">
        <f t="shared" si="2"/>
        <v>133534</v>
      </c>
      <c r="H19" s="1813">
        <f t="shared" si="2"/>
        <v>137739</v>
      </c>
      <c r="I19" s="1813">
        <f t="shared" si="2"/>
        <v>0</v>
      </c>
      <c r="J19" s="1813">
        <f t="shared" si="2"/>
        <v>137739</v>
      </c>
    </row>
    <row r="20" spans="1:10" ht="13.5" thickTop="1" x14ac:dyDescent="0.2">
      <c r="A20" s="1035">
        <v>9</v>
      </c>
      <c r="B20" s="2332" t="s">
        <v>1979</v>
      </c>
      <c r="C20" s="2332"/>
      <c r="D20" s="2333"/>
      <c r="E20" s="1046"/>
      <c r="F20" s="1046"/>
      <c r="G20" s="1046"/>
      <c r="H20" s="1046"/>
      <c r="I20" s="1046"/>
      <c r="J20" s="1814">
        <f>IF(AND(G19&gt;0,J19&gt;0),(((J19-G19)/G19)),"Enter Budget Data")</f>
        <v>3.1490107388380491E-2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3" zoomScale="110" zoomScaleNormal="110" workbookViewId="0">
      <selection activeCell="B40" sqref="B40"/>
    </sheetView>
  </sheetViews>
  <sheetFormatPr defaultColWidth="9.140625" defaultRowHeight="12.75" x14ac:dyDescent="0.2"/>
  <cols>
    <col min="1" max="1" width="3" style="329" customWidth="1"/>
    <col min="2" max="2" width="47.57031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068">
        <v>1</v>
      </c>
      <c r="B5" s="329" t="s">
        <v>2093</v>
      </c>
    </row>
    <row r="6" spans="1:4" x14ac:dyDescent="0.2">
      <c r="A6" s="1068">
        <v>2</v>
      </c>
      <c r="B6" s="329" t="s">
        <v>2094</v>
      </c>
    </row>
    <row r="7" spans="1:4" x14ac:dyDescent="0.2">
      <c r="A7" s="1068">
        <v>3</v>
      </c>
      <c r="B7" s="329" t="s">
        <v>2095</v>
      </c>
      <c r="C7" s="329" t="s">
        <v>958</v>
      </c>
      <c r="D7" s="1940">
        <v>7791</v>
      </c>
    </row>
    <row r="8" spans="1:4" x14ac:dyDescent="0.2">
      <c r="A8" s="1068">
        <v>4</v>
      </c>
    </row>
    <row r="9" spans="1:4" x14ac:dyDescent="0.2">
      <c r="A9" s="1069"/>
      <c r="B9" s="329" t="s">
        <v>2096</v>
      </c>
      <c r="C9" s="329" t="s">
        <v>2097</v>
      </c>
    </row>
    <row r="10" spans="1:4" x14ac:dyDescent="0.2">
      <c r="A10" s="1069"/>
      <c r="B10" s="329" t="s">
        <v>2094</v>
      </c>
    </row>
    <row r="11" spans="1:4" x14ac:dyDescent="0.2">
      <c r="A11" s="1069"/>
      <c r="B11" s="329" t="s">
        <v>2098</v>
      </c>
      <c r="C11" s="329" t="s">
        <v>958</v>
      </c>
      <c r="D11" s="1940">
        <v>1619</v>
      </c>
    </row>
    <row r="12" spans="1:4" x14ac:dyDescent="0.2">
      <c r="A12" s="1069"/>
    </row>
    <row r="13" spans="1:4" x14ac:dyDescent="0.2">
      <c r="A13" s="1069"/>
      <c r="B13" s="329" t="s">
        <v>2099</v>
      </c>
    </row>
    <row r="14" spans="1:4" x14ac:dyDescent="0.2">
      <c r="A14" s="1069"/>
      <c r="B14" s="329" t="s">
        <v>2094</v>
      </c>
    </row>
    <row r="15" spans="1:4" x14ac:dyDescent="0.2">
      <c r="A15" s="1069"/>
      <c r="B15" s="329" t="s">
        <v>2100</v>
      </c>
      <c r="C15" s="329" t="s">
        <v>958</v>
      </c>
      <c r="D15" s="1940">
        <v>15260</v>
      </c>
    </row>
    <row r="16" spans="1:4" x14ac:dyDescent="0.2">
      <c r="A16" s="1069"/>
      <c r="B16" s="329" t="s">
        <v>2101</v>
      </c>
      <c r="D16" s="1940">
        <v>2897</v>
      </c>
    </row>
    <row r="17" spans="1:4" x14ac:dyDescent="0.2">
      <c r="A17" s="1069"/>
      <c r="B17" s="329" t="s">
        <v>2102</v>
      </c>
      <c r="D17" s="1940">
        <v>38548</v>
      </c>
    </row>
    <row r="18" spans="1:4" x14ac:dyDescent="0.2">
      <c r="A18" s="1069"/>
      <c r="B18" s="329" t="s">
        <v>2103</v>
      </c>
      <c r="D18" s="1940">
        <v>2120</v>
      </c>
    </row>
    <row r="19" spans="1:4" x14ac:dyDescent="0.2">
      <c r="A19" s="1069"/>
      <c r="B19" s="329" t="s">
        <v>2104</v>
      </c>
      <c r="D19" s="1940">
        <v>1928</v>
      </c>
    </row>
    <row r="20" spans="1:4" x14ac:dyDescent="0.2">
      <c r="A20" s="1069"/>
      <c r="B20" s="329" t="s">
        <v>2105</v>
      </c>
      <c r="D20" s="1940">
        <v>2449</v>
      </c>
    </row>
    <row r="21" spans="1:4" x14ac:dyDescent="0.2">
      <c r="A21" s="1069"/>
      <c r="B21" s="329" t="s">
        <v>2106</v>
      </c>
    </row>
    <row r="22" spans="1:4" x14ac:dyDescent="0.2">
      <c r="A22" s="1069"/>
      <c r="B22" s="329" t="s">
        <v>2107</v>
      </c>
      <c r="C22" s="329" t="s">
        <v>958</v>
      </c>
      <c r="D22" s="1940">
        <v>1550</v>
      </c>
    </row>
    <row r="23" spans="1:4" x14ac:dyDescent="0.2">
      <c r="A23" s="1069"/>
      <c r="B23" s="329" t="s">
        <v>2108</v>
      </c>
      <c r="D23" s="1940">
        <v>2544</v>
      </c>
    </row>
    <row r="24" spans="1:4" x14ac:dyDescent="0.2">
      <c r="A24" s="1069"/>
      <c r="B24" s="329" t="s">
        <v>2109</v>
      </c>
      <c r="D24" s="1940">
        <v>2492</v>
      </c>
    </row>
    <row r="25" spans="1:4" x14ac:dyDescent="0.2">
      <c r="A25" s="1069"/>
      <c r="B25" s="329" t="s">
        <v>2110</v>
      </c>
      <c r="D25" s="1940">
        <v>5727</v>
      </c>
    </row>
    <row r="26" spans="1:4" x14ac:dyDescent="0.2">
      <c r="A26" s="1069"/>
      <c r="B26" s="329" t="s">
        <v>2111</v>
      </c>
      <c r="D26" s="1940">
        <v>7212</v>
      </c>
    </row>
    <row r="27" spans="1:4" x14ac:dyDescent="0.2">
      <c r="A27" s="1069"/>
      <c r="B27" s="329" t="s">
        <v>2101</v>
      </c>
      <c r="D27" s="329">
        <v>389</v>
      </c>
    </row>
    <row r="28" spans="1:4" x14ac:dyDescent="0.2">
      <c r="A28" s="1069"/>
    </row>
    <row r="29" spans="1:4" x14ac:dyDescent="0.2">
      <c r="A29" s="1069"/>
      <c r="B29" s="329" t="s">
        <v>2112</v>
      </c>
    </row>
    <row r="30" spans="1:4" x14ac:dyDescent="0.2">
      <c r="A30" s="1069"/>
      <c r="B30" s="329" t="s">
        <v>2094</v>
      </c>
    </row>
    <row r="31" spans="1:4" x14ac:dyDescent="0.2">
      <c r="A31" s="1069"/>
      <c r="B31" s="329" t="s">
        <v>2113</v>
      </c>
      <c r="C31" s="329" t="s">
        <v>958</v>
      </c>
      <c r="D31" s="1940">
        <v>1500</v>
      </c>
    </row>
    <row r="32" spans="1:4" x14ac:dyDescent="0.2">
      <c r="A32" s="1069"/>
    </row>
    <row r="33" spans="1:4" x14ac:dyDescent="0.2">
      <c r="A33" s="1069"/>
      <c r="B33" s="329" t="s">
        <v>2114</v>
      </c>
    </row>
    <row r="34" spans="1:4" x14ac:dyDescent="0.2">
      <c r="A34" s="1069"/>
      <c r="B34" s="329" t="s">
        <v>2115</v>
      </c>
    </row>
    <row r="35" spans="1:4" x14ac:dyDescent="0.2">
      <c r="A35" s="1069"/>
      <c r="B35" s="329" t="s">
        <v>2116</v>
      </c>
      <c r="C35" s="329" t="s">
        <v>958</v>
      </c>
      <c r="D35" s="1940">
        <v>1000</v>
      </c>
    </row>
    <row r="36" spans="1:4" x14ac:dyDescent="0.2">
      <c r="A36" s="1069"/>
    </row>
    <row r="37" spans="1:4" x14ac:dyDescent="0.2">
      <c r="A37" s="1069"/>
      <c r="B37" s="329" t="s">
        <v>2117</v>
      </c>
    </row>
    <row r="38" spans="1:4" x14ac:dyDescent="0.2">
      <c r="A38" s="1069"/>
      <c r="B38" s="329" t="s">
        <v>2118</v>
      </c>
    </row>
    <row r="39" spans="1:4" x14ac:dyDescent="0.2">
      <c r="A39" s="1069"/>
      <c r="B39" s="329" t="s">
        <v>2119</v>
      </c>
      <c r="C39" s="329" t="s">
        <v>958</v>
      </c>
      <c r="D39" s="329">
        <v>139</v>
      </c>
    </row>
    <row r="40" spans="1:4" x14ac:dyDescent="0.2">
      <c r="A40" s="1069"/>
    </row>
    <row r="41" spans="1:4" x14ac:dyDescent="0.2">
      <c r="A41" s="1069"/>
    </row>
    <row r="42" spans="1:4" x14ac:dyDescent="0.2">
      <c r="A42" s="1069"/>
    </row>
    <row r="43" spans="1:4" x14ac:dyDescent="0.2">
      <c r="A43" s="1069"/>
    </row>
    <row r="44" spans="1:4" x14ac:dyDescent="0.2">
      <c r="A44" s="1069"/>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Argenta-Oreana CUSD 1</v>
      </c>
    </row>
    <row r="65" spans="2:2" x14ac:dyDescent="0.2">
      <c r="B65" s="1070">
        <f>COVER!A13</f>
        <v>39055001026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6710829</v>
      </c>
      <c r="C8" s="1815">
        <f>'Acct Summary 7-8'!D8</f>
        <v>812300</v>
      </c>
      <c r="D8" s="1815">
        <f>'Acct Summary 7-8'!F8</f>
        <v>614212</v>
      </c>
      <c r="E8" s="1815">
        <f>'Acct Summary 7-8'!I8</f>
        <v>93204</v>
      </c>
      <c r="F8" s="1815">
        <f>SUM(B8:E8)</f>
        <v>8230545</v>
      </c>
    </row>
    <row r="9" spans="1:8" s="1079" customFormat="1" ht="14.25" customHeight="1" thickBot="1" x14ac:dyDescent="0.25">
      <c r="A9" s="1078" t="s">
        <v>1369</v>
      </c>
      <c r="B9" s="1816">
        <f>'Acct Summary 7-8'!C17</f>
        <v>6665428</v>
      </c>
      <c r="C9" s="1816">
        <f>'Acct Summary 7-8'!D17</f>
        <v>1147062</v>
      </c>
      <c r="D9" s="1816">
        <f>'Acct Summary 7-8'!F17</f>
        <v>765363</v>
      </c>
      <c r="E9" s="1815"/>
      <c r="F9" s="1815">
        <f>SUM(B9:E9)</f>
        <v>8577853</v>
      </c>
    </row>
    <row r="10" spans="1:8" s="1079" customFormat="1" ht="14.25" thickTop="1" thickBot="1" x14ac:dyDescent="0.25">
      <c r="A10" s="1080" t="s">
        <v>1370</v>
      </c>
      <c r="B10" s="1817">
        <f>(B8-B9)</f>
        <v>45401</v>
      </c>
      <c r="C10" s="1817">
        <f>(C8-C9)</f>
        <v>-334762</v>
      </c>
      <c r="D10" s="1817">
        <f>(D8-D9)</f>
        <v>-151151</v>
      </c>
      <c r="E10" s="1816">
        <f>(E8-E9)</f>
        <v>93204</v>
      </c>
      <c r="F10" s="1818">
        <f>SUM(F8-F9)</f>
        <v>-347308</v>
      </c>
    </row>
    <row r="11" spans="1:8" s="1079" customFormat="1" ht="14.25" thickTop="1" thickBot="1" x14ac:dyDescent="0.25">
      <c r="A11" s="1081" t="s">
        <v>1983</v>
      </c>
      <c r="B11" s="1819">
        <f>'Acct Summary 7-8'!C81</f>
        <v>1307141</v>
      </c>
      <c r="C11" s="1819">
        <f>'Acct Summary 7-8'!D81</f>
        <v>710788</v>
      </c>
      <c r="D11" s="1819">
        <f>'Acct Summary 7-8'!F81</f>
        <v>580039</v>
      </c>
      <c r="E11" s="1819">
        <f>'Acct Summary 7-8'!I81</f>
        <v>3065437</v>
      </c>
      <c r="F11" s="1820">
        <f>SUM(B11:E11)</f>
        <v>5663405</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39055001026</v>
      </c>
    </row>
    <row r="3" spans="1:2" x14ac:dyDescent="0.2">
      <c r="A3" t="s">
        <v>956</v>
      </c>
      <c r="B3" s="138" t="str">
        <f>COVER!A15</f>
        <v>MACON</v>
      </c>
    </row>
    <row r="4" spans="1:2" x14ac:dyDescent="0.2">
      <c r="A4" t="s">
        <v>1007</v>
      </c>
      <c r="B4" s="138" t="str">
        <f>COVER!A17</f>
        <v>Argenta-Oreana CUSD 1</v>
      </c>
    </row>
    <row r="5" spans="1:2" x14ac:dyDescent="0.2">
      <c r="A5" t="s">
        <v>704</v>
      </c>
      <c r="B5" s="138" t="str">
        <f>COVER!A38</f>
        <v>MR. DAMIAN JONES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t="str">
        <f>COVER!T25</f>
        <v>JULIE.FLOYD@FRONTIER.COM</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965802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1307141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1231219</v>
      </c>
      <c r="D92" s="2" t="str">
        <f t="shared" si="0"/>
        <v>Error?</v>
      </c>
    </row>
    <row r="93" spans="1:4" x14ac:dyDescent="0.2">
      <c r="A93" s="5">
        <v>32</v>
      </c>
      <c r="B93" s="138">
        <f>'Assets-Liab 5-6'!C41</f>
        <v>1307141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719259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719259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8471</v>
      </c>
      <c r="C122" s="2" t="s">
        <v>573</v>
      </c>
      <c r="D122" s="2" t="str">
        <f t="shared" si="0"/>
        <v>Error?</v>
      </c>
    </row>
    <row r="123" spans="1:4" x14ac:dyDescent="0.2">
      <c r="A123" s="5">
        <v>62</v>
      </c>
      <c r="B123" s="138">
        <f>'Assets-Liab 5-6'!D39</f>
        <v>710788</v>
      </c>
      <c r="D123" s="2" t="str">
        <f t="shared" si="0"/>
        <v>Error?</v>
      </c>
    </row>
    <row r="124" spans="1:4" x14ac:dyDescent="0.2">
      <c r="A124" s="5">
        <v>63</v>
      </c>
      <c r="B124" s="138">
        <f>'Assets-Liab 5-6'!D41</f>
        <v>719259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292490</v>
      </c>
      <c r="D129" s="2" t="str">
        <f t="shared" si="1"/>
        <v>Error?</v>
      </c>
    </row>
    <row r="130" spans="1:4" x14ac:dyDescent="0.2">
      <c r="A130" s="5">
        <v>69</v>
      </c>
      <c r="B130" s="138">
        <f>'Assets-Liab 5-6'!E12</f>
        <v>0</v>
      </c>
      <c r="D130" s="2" t="str">
        <f t="shared" si="1"/>
        <v>Error?</v>
      </c>
    </row>
    <row r="131" spans="1:4" x14ac:dyDescent="0.2">
      <c r="A131" s="5">
        <v>70</v>
      </c>
      <c r="B131" s="138">
        <f>'Assets-Liab 5-6'!E13</f>
        <v>614016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614016</v>
      </c>
      <c r="D140" s="2" t="str">
        <f t="shared" si="1"/>
        <v>Error?</v>
      </c>
    </row>
    <row r="141" spans="1:4" x14ac:dyDescent="0.2">
      <c r="A141" s="5">
        <v>80</v>
      </c>
      <c r="B141" s="138">
        <f>'Assets-Liab 5-6'!E41</f>
        <v>614016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472093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580039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580039</v>
      </c>
      <c r="D170" s="2" t="str">
        <f t="shared" si="1"/>
        <v>Error?</v>
      </c>
    </row>
    <row r="171" spans="1:4" x14ac:dyDescent="0.2">
      <c r="A171" s="5">
        <v>110</v>
      </c>
      <c r="B171" s="138">
        <f>'Assets-Liab 5-6'!F41</f>
        <v>580039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282197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300151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300151</v>
      </c>
      <c r="D189" s="2" t="str">
        <f t="shared" si="1"/>
        <v>Error?</v>
      </c>
    </row>
    <row r="190" spans="1:4" x14ac:dyDescent="0.2">
      <c r="A190" s="5">
        <v>129</v>
      </c>
      <c r="B190" s="138">
        <f>'Assets-Liab 5-6'!G41</f>
        <v>300151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460020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537144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537144</v>
      </c>
      <c r="D212" s="2" t="str">
        <f t="shared" si="2"/>
        <v>Error?</v>
      </c>
    </row>
    <row r="213" spans="1:4" x14ac:dyDescent="0.2">
      <c r="A213" s="12">
        <v>152</v>
      </c>
      <c r="B213" s="138">
        <f>'Assets-Liab 5-6'!H41</f>
        <v>537144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75875</v>
      </c>
      <c r="D273" s="2" t="str">
        <f t="shared" si="3"/>
        <v>Error?</v>
      </c>
    </row>
    <row r="274" spans="1:4" x14ac:dyDescent="0.2">
      <c r="A274" s="5">
        <v>213</v>
      </c>
      <c r="B274" s="138">
        <f>'Assets-Liab 5-6'!M17</f>
        <v>29944720</v>
      </c>
      <c r="D274" s="2" t="str">
        <f t="shared" si="3"/>
        <v>Error?</v>
      </c>
    </row>
    <row r="275" spans="1:4" x14ac:dyDescent="0.2">
      <c r="A275" s="5">
        <v>214</v>
      </c>
      <c r="B275" s="138">
        <f>'Assets-Liab 5-6'!M18</f>
        <v>0</v>
      </c>
      <c r="D275" s="2" t="str">
        <f t="shared" si="3"/>
        <v>Error?</v>
      </c>
    </row>
    <row r="276" spans="1:4" x14ac:dyDescent="0.2">
      <c r="A276" s="5">
        <v>215</v>
      </c>
      <c r="B276" s="138">
        <f>'Assets-Liab 5-6'!M19</f>
        <v>1279360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31299955</v>
      </c>
      <c r="C279" s="2" t="s">
        <v>573</v>
      </c>
      <c r="D279" s="2" t="str">
        <f t="shared" si="3"/>
        <v>Error?</v>
      </c>
    </row>
    <row r="280" spans="1:4" x14ac:dyDescent="0.2">
      <c r="A280" s="5">
        <v>219</v>
      </c>
      <c r="B280" s="138">
        <f>'Assets-Liab 5-6'!M40</f>
        <v>31299955</v>
      </c>
      <c r="D280" s="2" t="str">
        <f t="shared" si="3"/>
        <v>Error?</v>
      </c>
    </row>
    <row r="281" spans="1:4" x14ac:dyDescent="0.2">
      <c r="A281" s="5">
        <v>220</v>
      </c>
      <c r="B281" s="138">
        <f>'Assets-Liab 5-6'!M41</f>
        <v>31299955</v>
      </c>
      <c r="C281" s="2" t="s">
        <v>573</v>
      </c>
      <c r="D281" s="2" t="str">
        <f t="shared" si="3"/>
        <v>Error?</v>
      </c>
    </row>
    <row r="282" spans="1:4" x14ac:dyDescent="0.2">
      <c r="A282" s="5">
        <v>221</v>
      </c>
      <c r="B282" s="138">
        <f>'Assets-Liab 5-6'!N21</f>
        <v>614016</v>
      </c>
      <c r="D282" s="2" t="str">
        <f t="shared" si="3"/>
        <v>Error?</v>
      </c>
    </row>
    <row r="283" spans="1:4" x14ac:dyDescent="0.2">
      <c r="A283" s="5">
        <v>222</v>
      </c>
      <c r="B283" s="138">
        <f>'Assets-Liab 5-6'!N22</f>
        <v>10425984</v>
      </c>
      <c r="D283" s="2" t="str">
        <f t="shared" si="3"/>
        <v>Error?</v>
      </c>
    </row>
    <row r="284" spans="1:4" x14ac:dyDescent="0.2">
      <c r="A284" s="5">
        <v>223</v>
      </c>
      <c r="B284" s="138">
        <f>'Assets-Liab 5-6'!N23</f>
        <v>11040000</v>
      </c>
      <c r="C284" s="2" t="s">
        <v>573</v>
      </c>
      <c r="D284" s="2" t="str">
        <f t="shared" si="3"/>
        <v>Error?</v>
      </c>
    </row>
    <row r="285" spans="1:4" x14ac:dyDescent="0.2">
      <c r="A285" s="5">
        <v>224</v>
      </c>
      <c r="B285" s="138">
        <f>'Assets-Liab 5-6'!N36</f>
        <v>11040000</v>
      </c>
      <c r="D285" s="2" t="str">
        <f t="shared" si="3"/>
        <v>Error?</v>
      </c>
    </row>
    <row r="286" spans="1:4" x14ac:dyDescent="0.2">
      <c r="A286" s="10">
        <v>225</v>
      </c>
      <c r="D286" s="2" t="str">
        <f t="shared" si="3"/>
        <v>OK</v>
      </c>
    </row>
    <row r="287" spans="1:4" x14ac:dyDescent="0.2">
      <c r="A287" s="5">
        <v>226</v>
      </c>
      <c r="B287" s="138">
        <f>'Assets-Liab 5-6'!N37</f>
        <v>11040000</v>
      </c>
      <c r="C287" s="2" t="s">
        <v>573</v>
      </c>
      <c r="D287" s="2" t="str">
        <f t="shared" si="3"/>
        <v>Error?</v>
      </c>
    </row>
    <row r="288" spans="1:4" x14ac:dyDescent="0.2">
      <c r="A288" s="5">
        <v>227</v>
      </c>
      <c r="B288" s="138">
        <f>'Assets-Liab 5-6'!N41</f>
        <v>11040000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2794597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130615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3613857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83936</v>
      </c>
      <c r="D722" s="2" t="str">
        <f t="shared" si="10"/>
        <v>Error?</v>
      </c>
    </row>
    <row r="723" spans="1:4" x14ac:dyDescent="0.2">
      <c r="A723" s="5">
        <v>662</v>
      </c>
      <c r="B723" s="138">
        <f>'Expenditures 15-22'!C38</f>
        <v>32467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116403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27455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27455</v>
      </c>
      <c r="C731" s="2" t="s">
        <v>573</v>
      </c>
      <c r="D731" s="2" t="str">
        <f t="shared" si="10"/>
        <v>Error?</v>
      </c>
    </row>
    <row r="732" spans="1:4" x14ac:dyDescent="0.2">
      <c r="A732" s="5">
        <v>671</v>
      </c>
      <c r="B732" s="138">
        <f>'Expenditures 15-22'!C49</f>
        <v>13064</v>
      </c>
      <c r="D732" s="2" t="str">
        <f t="shared" si="10"/>
        <v>Error?</v>
      </c>
    </row>
    <row r="733" spans="1:4" x14ac:dyDescent="0.2">
      <c r="A733" s="5">
        <v>672</v>
      </c>
      <c r="B733" s="138">
        <f>'Expenditures 15-22'!C50</f>
        <v>98541</v>
      </c>
      <c r="D733" s="2" t="str">
        <f t="shared" si="10"/>
        <v>Error?</v>
      </c>
    </row>
    <row r="734" spans="1:4" x14ac:dyDescent="0.2">
      <c r="A734" s="5">
        <v>673</v>
      </c>
      <c r="B734" s="138">
        <f>'Expenditures 15-22'!C53</f>
        <v>111605</v>
      </c>
      <c r="C734" s="2" t="s">
        <v>573</v>
      </c>
      <c r="D734" s="2" t="str">
        <f t="shared" si="10"/>
        <v>Error?</v>
      </c>
    </row>
    <row r="735" spans="1:4" x14ac:dyDescent="0.2">
      <c r="A735" s="5">
        <v>674</v>
      </c>
      <c r="B735" s="138">
        <f>'Expenditures 15-22'!C55</f>
        <v>493477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493477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70633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83115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153748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902688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4516545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679053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17912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780164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14723</v>
      </c>
      <c r="D780" s="2" t="str">
        <f t="shared" si="11"/>
        <v>Error?</v>
      </c>
    </row>
    <row r="781" spans="1:4" x14ac:dyDescent="0.2">
      <c r="A781" s="5">
        <v>720</v>
      </c>
      <c r="B781" s="138">
        <f>'Expenditures 15-22'!D38</f>
        <v>2156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16879</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3127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3127</v>
      </c>
      <c r="C789" s="2" t="s">
        <v>573</v>
      </c>
      <c r="D789" s="2" t="str">
        <f t="shared" si="11"/>
        <v>Error?</v>
      </c>
    </row>
    <row r="790" spans="1:4" x14ac:dyDescent="0.2">
      <c r="A790" s="5">
        <v>729</v>
      </c>
      <c r="B790" s="138">
        <f>'Expenditures 15-22'!D49</f>
        <v>5</v>
      </c>
      <c r="D790" s="2" t="str">
        <f t="shared" si="11"/>
        <v>Error?</v>
      </c>
    </row>
    <row r="791" spans="1:4" x14ac:dyDescent="0.2">
      <c r="A791" s="5">
        <v>730</v>
      </c>
      <c r="B791" s="138">
        <f>'Expenditures 15-22'!D50</f>
        <v>34109</v>
      </c>
      <c r="D791" s="2" t="str">
        <f t="shared" si="11"/>
        <v>Error?</v>
      </c>
    </row>
    <row r="792" spans="1:4" x14ac:dyDescent="0.2">
      <c r="A792" s="5">
        <v>731</v>
      </c>
      <c r="B792" s="138">
        <f>'Expenditures 15-22'!D53</f>
        <v>34114</v>
      </c>
      <c r="C792" s="2" t="s">
        <v>573</v>
      </c>
      <c r="D792" s="2" t="str">
        <f t="shared" si="11"/>
        <v>Error?</v>
      </c>
    </row>
    <row r="793" spans="1:4" x14ac:dyDescent="0.2">
      <c r="A793" s="5">
        <v>732</v>
      </c>
      <c r="B793" s="138">
        <f>'Expenditures 15-22'!D55</f>
        <v>109135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109135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3297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3440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166695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946859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15495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22545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46281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1099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1099</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2250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2250</v>
      </c>
      <c r="C847" s="2" t="s">
        <v>573</v>
      </c>
      <c r="D847" s="2" t="str">
        <f t="shared" si="12"/>
        <v>Error?</v>
      </c>
    </row>
    <row r="848" spans="1:4" x14ac:dyDescent="0.2">
      <c r="A848" s="5">
        <v>787</v>
      </c>
      <c r="B848" s="138">
        <f>'Expenditures 15-22'!E49</f>
        <v>114885</v>
      </c>
      <c r="D848" s="2" t="str">
        <f t="shared" si="12"/>
        <v>Error?</v>
      </c>
    </row>
    <row r="849" spans="1:4" x14ac:dyDescent="0.2">
      <c r="A849" s="5">
        <v>788</v>
      </c>
      <c r="B849" s="138">
        <f>'Expenditures 15-22'!E50</f>
        <v>435</v>
      </c>
      <c r="D849" s="2" t="str">
        <f t="shared" si="12"/>
        <v>Error?</v>
      </c>
    </row>
    <row r="850" spans="1:4" x14ac:dyDescent="0.2">
      <c r="A850" s="5">
        <v>789</v>
      </c>
      <c r="B850" s="138">
        <f>'Expenditures 15-22'!E53</f>
        <v>115320</v>
      </c>
      <c r="C850" s="2" t="s">
        <v>573</v>
      </c>
      <c r="D850" s="2" t="str">
        <f t="shared" si="12"/>
        <v>Error?</v>
      </c>
    </row>
    <row r="851" spans="1:4" x14ac:dyDescent="0.2">
      <c r="A851" s="5">
        <v>790</v>
      </c>
      <c r="B851" s="138">
        <f>'Expenditures 15-22'!E55</f>
        <v>2033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2033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4060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4060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20545</v>
      </c>
      <c r="D867" s="2" t="str">
        <f t="shared" si="12"/>
        <v>Error?</v>
      </c>
    </row>
    <row r="868" spans="1:4" x14ac:dyDescent="0.2">
      <c r="A868" s="10">
        <v>807</v>
      </c>
      <c r="D868" s="2" t="str">
        <f t="shared" si="12"/>
        <v>OK</v>
      </c>
    </row>
    <row r="869" spans="1:4" x14ac:dyDescent="0.2">
      <c r="A869" s="5">
        <v>808</v>
      </c>
      <c r="B869" s="138">
        <f>'Expenditures 15-22'!E72</f>
        <v>20545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145307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191588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148989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25540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195282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6163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6163</v>
      </c>
      <c r="C905" s="2" t="s">
        <v>573</v>
      </c>
      <c r="D905" s="2" t="str">
        <f t="shared" si="13"/>
        <v>Error?</v>
      </c>
    </row>
    <row r="906" spans="1:4" x14ac:dyDescent="0.2">
      <c r="A906" s="5">
        <v>845</v>
      </c>
      <c r="B906" s="138">
        <f>'Expenditures 15-22'!F49</f>
        <v>8426</v>
      </c>
      <c r="D906" s="2" t="str">
        <f t="shared" si="13"/>
        <v>Error?</v>
      </c>
    </row>
    <row r="907" spans="1:4" x14ac:dyDescent="0.2">
      <c r="A907" s="5">
        <v>846</v>
      </c>
      <c r="B907" s="138">
        <f>'Expenditures 15-22'!F50</f>
        <v>449</v>
      </c>
      <c r="D907" s="2" t="str">
        <f t="shared" si="13"/>
        <v>Error?</v>
      </c>
    </row>
    <row r="908" spans="1:4" x14ac:dyDescent="0.2">
      <c r="A908" s="5">
        <v>847</v>
      </c>
      <c r="B908" s="138">
        <f>'Expenditures 15-22'!F53</f>
        <v>8875</v>
      </c>
      <c r="C908" s="2" t="s">
        <v>573</v>
      </c>
      <c r="D908" s="2" t="str">
        <f t="shared" si="13"/>
        <v>Error?</v>
      </c>
    </row>
    <row r="909" spans="1:4" x14ac:dyDescent="0.2">
      <c r="A909" s="5">
        <v>848</v>
      </c>
      <c r="B909" s="138">
        <f>'Expenditures 15-22'!F55</f>
        <v>142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176481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176481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192168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387450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15330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15330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15330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6469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9149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10327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10327</v>
      </c>
      <c r="C1024" s="2" t="s">
        <v>573</v>
      </c>
      <c r="D1024" s="2" t="str">
        <f t="shared" si="15"/>
        <v>Error?</v>
      </c>
    </row>
    <row r="1025" spans="1:4" x14ac:dyDescent="0.2">
      <c r="A1025" s="5">
        <v>964</v>
      </c>
      <c r="B1025" s="138">
        <f>'Expenditures 15-22'!H55</f>
        <v>722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722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11049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478728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498926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3733924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218411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4768793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98659</v>
      </c>
      <c r="C1110" s="2" t="s">
        <v>573</v>
      </c>
      <c r="D1110" s="2" t="str">
        <f t="shared" si="16"/>
        <v>Error?</v>
      </c>
    </row>
    <row r="1111" spans="1:4" x14ac:dyDescent="0.2">
      <c r="A1111" s="5">
        <v>1050</v>
      </c>
      <c r="B1111" s="138">
        <f>'Expenditures 15-22'!K38</f>
        <v>36229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134888</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38995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38995</v>
      </c>
      <c r="C1119" s="2" t="s">
        <v>573</v>
      </c>
      <c r="D1119" s="2" t="str">
        <f t="shared" si="16"/>
        <v>Error?</v>
      </c>
    </row>
    <row r="1120" spans="1:4" x14ac:dyDescent="0.2">
      <c r="A1120" s="5">
        <v>1059</v>
      </c>
      <c r="B1120" s="138">
        <f>'Expenditures 15-22'!K49</f>
        <v>146707</v>
      </c>
      <c r="C1120" s="2" t="s">
        <v>573</v>
      </c>
      <c r="D1120" s="2" t="str">
        <f t="shared" si="16"/>
        <v>Error?</v>
      </c>
    </row>
    <row r="1121" spans="1:4" x14ac:dyDescent="0.2">
      <c r="A1121" s="5">
        <v>1060</v>
      </c>
      <c r="B1121" s="138">
        <f>'Expenditures 15-22'!K50</f>
        <v>133534</v>
      </c>
      <c r="C1121" s="2" t="s">
        <v>573</v>
      </c>
      <c r="D1121" s="2" t="str">
        <f t="shared" si="16"/>
        <v>Error?</v>
      </c>
    </row>
    <row r="1122" spans="1:4" x14ac:dyDescent="0.2">
      <c r="A1122" s="5">
        <v>1061</v>
      </c>
      <c r="B1122" s="138">
        <f>'Expenditures 15-22'!K53</f>
        <v>280241</v>
      </c>
      <c r="C1122" s="2" t="s">
        <v>573</v>
      </c>
      <c r="D1122" s="2" t="str">
        <f t="shared" si="16"/>
        <v>Error?</v>
      </c>
    </row>
    <row r="1123" spans="1:4" x14ac:dyDescent="0.2">
      <c r="A1123" s="5">
        <v>1062</v>
      </c>
      <c r="B1123" s="138">
        <f>'Expenditures 15-22'!K55</f>
        <v>605509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605509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73930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263799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337729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20545</v>
      </c>
      <c r="C1139" s="2" t="s">
        <v>573</v>
      </c>
      <c r="D1139" s="2" t="str">
        <f t="shared" si="16"/>
        <v>Error?</v>
      </c>
    </row>
    <row r="1140" spans="1:4" x14ac:dyDescent="0.2">
      <c r="A1140" s="10">
        <v>1079</v>
      </c>
      <c r="D1140" s="2" t="str">
        <f t="shared" si="16"/>
        <v>OK</v>
      </c>
    </row>
    <row r="1141" spans="1:4" x14ac:dyDescent="0.2">
      <c r="A1141" s="5">
        <v>1080</v>
      </c>
      <c r="B1141" s="138">
        <f>'Expenditures 15-22'!K72</f>
        <v>20545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1417907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478728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6665428</v>
      </c>
      <c r="C1152" s="2" t="s">
        <v>573</v>
      </c>
      <c r="D1152" s="2" t="str">
        <f t="shared" si="17"/>
        <v>Error?</v>
      </c>
    </row>
    <row r="1153" spans="1:4" x14ac:dyDescent="0.2">
      <c r="A1153" s="5">
        <v>1092</v>
      </c>
      <c r="B1153" s="138">
        <f>'Expenditures 15-22'!K115</f>
        <v>45401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336930</v>
      </c>
      <c r="D1221" s="2" t="str">
        <f t="shared" si="18"/>
        <v>Error?</v>
      </c>
    </row>
    <row r="1222" spans="1:4" x14ac:dyDescent="0.2">
      <c r="A1222" s="10">
        <v>1161</v>
      </c>
      <c r="D1222" s="2" t="str">
        <f t="shared" si="18"/>
        <v>OK</v>
      </c>
    </row>
    <row r="1223" spans="1:4" x14ac:dyDescent="0.2">
      <c r="A1223" s="5">
        <v>1162</v>
      </c>
      <c r="B1223" s="138">
        <f>'Expenditures 15-22'!C127</f>
        <v>336930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336930</v>
      </c>
      <c r="C1225" s="2" t="s">
        <v>573</v>
      </c>
      <c r="D1225" s="2" t="str">
        <f t="shared" si="18"/>
        <v>Error?</v>
      </c>
    </row>
    <row r="1226" spans="1:4" x14ac:dyDescent="0.2">
      <c r="A1226" s="5">
        <v>1165</v>
      </c>
      <c r="B1226" s="138">
        <f>'Expenditures 15-22'!C151</f>
        <v>336930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13073</v>
      </c>
      <c r="D1229" s="2" t="str">
        <f t="shared" si="18"/>
        <v>Error?</v>
      </c>
    </row>
    <row r="1230" spans="1:4" x14ac:dyDescent="0.2">
      <c r="A1230" s="10">
        <v>1169</v>
      </c>
      <c r="D1230" s="2" t="str">
        <f t="shared" si="18"/>
        <v>OK</v>
      </c>
    </row>
    <row r="1231" spans="1:4" x14ac:dyDescent="0.2">
      <c r="A1231" s="5">
        <v>1170</v>
      </c>
      <c r="B1231" s="138">
        <f>'Expenditures 15-22'!D127</f>
        <v>13073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13073</v>
      </c>
      <c r="C1233" s="2" t="s">
        <v>573</v>
      </c>
      <c r="D1233" s="2" t="str">
        <f t="shared" si="18"/>
        <v>Error?</v>
      </c>
    </row>
    <row r="1234" spans="1:4" x14ac:dyDescent="0.2">
      <c r="A1234" s="5">
        <v>1173</v>
      </c>
      <c r="B1234" s="138">
        <f>'Expenditures 15-22'!D151</f>
        <v>13073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110510</v>
      </c>
      <c r="D1237" s="2" t="str">
        <f t="shared" si="18"/>
        <v>Error?</v>
      </c>
    </row>
    <row r="1238" spans="1:4" x14ac:dyDescent="0.2">
      <c r="A1238" s="10">
        <v>1177</v>
      </c>
      <c r="D1238" s="2" t="str">
        <f t="shared" si="18"/>
        <v>OK</v>
      </c>
    </row>
    <row r="1239" spans="1:4" x14ac:dyDescent="0.2">
      <c r="A1239" s="5">
        <v>1178</v>
      </c>
      <c r="B1239" s="138">
        <f>'Expenditures 15-22'!E127</f>
        <v>110510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110510</v>
      </c>
      <c r="C1241" s="2" t="s">
        <v>573</v>
      </c>
      <c r="D1241" s="2" t="str">
        <f t="shared" si="18"/>
        <v>Error?</v>
      </c>
    </row>
    <row r="1242" spans="1:4" x14ac:dyDescent="0.2">
      <c r="A1242" s="5">
        <v>1181</v>
      </c>
      <c r="B1242" s="138">
        <f>'Expenditures 15-22'!E151</f>
        <v>110510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322412</v>
      </c>
      <c r="D1245" s="2" t="str">
        <f t="shared" si="18"/>
        <v>Error?</v>
      </c>
    </row>
    <row r="1246" spans="1:4" x14ac:dyDescent="0.2">
      <c r="A1246" s="10">
        <v>1185</v>
      </c>
      <c r="D1246" s="2" t="str">
        <f t="shared" si="18"/>
        <v>OK</v>
      </c>
    </row>
    <row r="1247" spans="1:4" x14ac:dyDescent="0.2">
      <c r="A1247" s="5">
        <v>1186</v>
      </c>
      <c r="B1247" s="138">
        <f>'Expenditures 15-22'!F127</f>
        <v>322412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322412</v>
      </c>
      <c r="C1249" s="2" t="s">
        <v>573</v>
      </c>
      <c r="D1249" s="2" t="str">
        <f t="shared" si="18"/>
        <v>Error?</v>
      </c>
    </row>
    <row r="1250" spans="1:4" x14ac:dyDescent="0.2">
      <c r="A1250" s="5">
        <v>1189</v>
      </c>
      <c r="B1250" s="138">
        <f>'Expenditures 15-22'!F151</f>
        <v>322412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351388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351388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351388</v>
      </c>
      <c r="C1258" s="2" t="s">
        <v>573</v>
      </c>
      <c r="D1258" s="2" t="str">
        <f t="shared" si="18"/>
        <v>Error?</v>
      </c>
    </row>
    <row r="1259" spans="1:4" x14ac:dyDescent="0.2">
      <c r="A1259" s="5">
        <v>1198</v>
      </c>
      <c r="B1259" s="138">
        <f>'Expenditures 15-22'!G151</f>
        <v>351388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12749</v>
      </c>
      <c r="D1262" s="2" t="str">
        <f t="shared" si="18"/>
        <v>Error?</v>
      </c>
    </row>
    <row r="1263" spans="1:4" x14ac:dyDescent="0.2">
      <c r="A1263" s="10">
        <v>1202</v>
      </c>
      <c r="D1263" s="2" t="str">
        <f t="shared" si="18"/>
        <v>OK</v>
      </c>
    </row>
    <row r="1264" spans="1:4" x14ac:dyDescent="0.2">
      <c r="A1264" s="5">
        <v>1203</v>
      </c>
      <c r="B1264" s="138">
        <f>'Expenditures 15-22'!H127</f>
        <v>12749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12749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12749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1147062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1147062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1147062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1147062</v>
      </c>
      <c r="C1288" s="2" t="s">
        <v>573</v>
      </c>
      <c r="D1288" s="2" t="str">
        <f t="shared" si="19"/>
        <v>Error?</v>
      </c>
    </row>
    <row r="1289" spans="1:4" x14ac:dyDescent="0.2">
      <c r="A1289" s="5">
        <v>1228</v>
      </c>
      <c r="B1289" s="138">
        <f>'Expenditures 15-22'!K152</f>
        <v>-334762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530427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785000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1316427</v>
      </c>
      <c r="C1317" s="2" t="s">
        <v>573</v>
      </c>
      <c r="D1317" s="2" t="str">
        <f t="shared" si="19"/>
        <v>Error?</v>
      </c>
    </row>
    <row r="1318" spans="1:4" x14ac:dyDescent="0.2">
      <c r="A1318" s="5">
        <v>1257</v>
      </c>
      <c r="B1318" s="138">
        <f>'Expenditures 15-22'!H174</f>
        <v>1316427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530427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785000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1316427</v>
      </c>
      <c r="C1331" s="2" t="s">
        <v>573</v>
      </c>
      <c r="D1331" s="2" t="str">
        <f t="shared" si="19"/>
        <v>Error?</v>
      </c>
    </row>
    <row r="1332" spans="1:4" x14ac:dyDescent="0.2">
      <c r="A1332" s="5">
        <v>1271</v>
      </c>
      <c r="B1332" s="138">
        <f>'Expenditures 15-22'!K174</f>
        <v>1316427</v>
      </c>
      <c r="C1332" s="2" t="s">
        <v>573</v>
      </c>
      <c r="D1332" s="2" t="str">
        <f t="shared" si="19"/>
        <v>Error?</v>
      </c>
    </row>
    <row r="1333" spans="1:4" x14ac:dyDescent="0.2">
      <c r="A1333" s="5">
        <v>1272</v>
      </c>
      <c r="B1333" s="138">
        <f>'Expenditures 15-22'!K175</f>
        <v>-6269</v>
      </c>
      <c r="C1333" s="2" t="s">
        <v>573</v>
      </c>
      <c r="D1333" s="2" t="str">
        <f t="shared" si="19"/>
        <v>Error?</v>
      </c>
    </row>
    <row r="1334" spans="1:4" x14ac:dyDescent="0.2">
      <c r="A1334" s="10">
        <v>1273</v>
      </c>
      <c r="D1334" s="2" t="str">
        <f t="shared" si="19"/>
        <v>OK</v>
      </c>
    </row>
    <row r="1335" spans="1:4" x14ac:dyDescent="0.2">
      <c r="A1335" s="5">
        <v>1274</v>
      </c>
      <c r="B1335" s="138">
        <f>'Expenditures 15-22'!C182</f>
        <v>325095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325095</v>
      </c>
      <c r="C1339" s="2" t="s">
        <v>573</v>
      </c>
      <c r="D1339" s="2" t="str">
        <f t="shared" si="19"/>
        <v>Error?</v>
      </c>
    </row>
    <row r="1340" spans="1:4" x14ac:dyDescent="0.2">
      <c r="A1340" s="5">
        <v>1279</v>
      </c>
      <c r="B1340" s="138">
        <f>'Expenditures 15-22'!C210</f>
        <v>325095</v>
      </c>
      <c r="C1340" s="2" t="s">
        <v>573</v>
      </c>
      <c r="D1340" s="2" t="str">
        <f t="shared" si="19"/>
        <v>Error?</v>
      </c>
    </row>
    <row r="1341" spans="1:4" x14ac:dyDescent="0.2">
      <c r="A1341" s="5">
        <v>1280</v>
      </c>
      <c r="B1341" s="138">
        <f>'Expenditures 15-22'!D182</f>
        <v>234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234</v>
      </c>
      <c r="C1345" s="2" t="s">
        <v>573</v>
      </c>
      <c r="D1345" s="2" t="str">
        <f t="shared" si="20"/>
        <v>Error?</v>
      </c>
    </row>
    <row r="1346" spans="1:4" x14ac:dyDescent="0.2">
      <c r="A1346" s="5">
        <v>1285</v>
      </c>
      <c r="B1346" s="138">
        <f>'Expenditures 15-22'!D210</f>
        <v>234</v>
      </c>
      <c r="C1346" s="2" t="s">
        <v>573</v>
      </c>
      <c r="D1346" s="2" t="str">
        <f t="shared" si="20"/>
        <v>Error?</v>
      </c>
    </row>
    <row r="1347" spans="1:4" x14ac:dyDescent="0.2">
      <c r="A1347" s="5">
        <v>1286</v>
      </c>
      <c r="B1347" s="138">
        <f>'Expenditures 15-22'!E182</f>
        <v>45202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45202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45202</v>
      </c>
      <c r="C1353" s="2" t="s">
        <v>573</v>
      </c>
      <c r="D1353" s="2" t="str">
        <f t="shared" si="20"/>
        <v>Error?</v>
      </c>
    </row>
    <row r="1354" spans="1:4" x14ac:dyDescent="0.2">
      <c r="A1354" s="5">
        <v>1293</v>
      </c>
      <c r="B1354" s="138">
        <f>'Expenditures 15-22'!F182</f>
        <v>77006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77006</v>
      </c>
      <c r="C1358" s="2" t="s">
        <v>573</v>
      </c>
      <c r="D1358" s="2" t="str">
        <f t="shared" si="20"/>
        <v>Error?</v>
      </c>
    </row>
    <row r="1359" spans="1:4" x14ac:dyDescent="0.2">
      <c r="A1359" s="5">
        <v>1298</v>
      </c>
      <c r="B1359" s="138">
        <f>'Expenditures 15-22'!F210</f>
        <v>77006</v>
      </c>
      <c r="C1359" s="2" t="s">
        <v>573</v>
      </c>
      <c r="D1359" s="2" t="str">
        <f t="shared" si="20"/>
        <v>Error?</v>
      </c>
    </row>
    <row r="1360" spans="1:4" x14ac:dyDescent="0.2">
      <c r="A1360" s="5">
        <v>1299</v>
      </c>
      <c r="B1360" s="138">
        <f>'Expenditures 15-22'!G182</f>
        <v>33444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33444</v>
      </c>
      <c r="C1364" s="2" t="s">
        <v>573</v>
      </c>
      <c r="D1364" s="2" t="str">
        <f t="shared" si="20"/>
        <v>Error?</v>
      </c>
    </row>
    <row r="1365" spans="1:4" x14ac:dyDescent="0.2">
      <c r="A1365" s="5">
        <v>1304</v>
      </c>
      <c r="B1365" s="138">
        <f>'Expenditures 15-22'!G210</f>
        <v>33444</v>
      </c>
      <c r="C1365" s="2" t="s">
        <v>573</v>
      </c>
      <c r="D1365" s="2" t="str">
        <f t="shared" si="20"/>
        <v>Error?</v>
      </c>
    </row>
    <row r="1366" spans="1:4" x14ac:dyDescent="0.2">
      <c r="A1366" s="5">
        <v>1305</v>
      </c>
      <c r="B1366" s="138">
        <f>'Expenditures 15-22'!H182</f>
        <v>2435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2435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2435</v>
      </c>
      <c r="C1376" s="2" t="s">
        <v>573</v>
      </c>
      <c r="D1376" s="2" t="str">
        <f t="shared" si="20"/>
        <v>Error?</v>
      </c>
    </row>
    <row r="1377" spans="1:4" x14ac:dyDescent="0.2">
      <c r="A1377" s="5">
        <v>1316</v>
      </c>
      <c r="B1377" s="138">
        <f>'Expenditures 15-22'!K182</f>
        <v>765363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765363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765363</v>
      </c>
      <c r="C1388" s="2" t="s">
        <v>573</v>
      </c>
      <c r="D1388" s="2" t="str">
        <f t="shared" si="20"/>
        <v>Error?</v>
      </c>
    </row>
    <row r="1389" spans="1:4" x14ac:dyDescent="0.2">
      <c r="A1389" s="5">
        <v>1328</v>
      </c>
      <c r="B1389" s="138">
        <f>'Expenditures 15-22'!K211</f>
        <v>-151151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5364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83510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1143</v>
      </c>
      <c r="D1412" s="2" t="str">
        <f t="shared" si="21"/>
        <v>Error?</v>
      </c>
    </row>
    <row r="1413" spans="1:4" x14ac:dyDescent="0.2">
      <c r="A1413" s="5">
        <v>1352</v>
      </c>
      <c r="B1413" s="138">
        <f>'Expenditures 15-22'!D234</f>
        <v>4920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139</v>
      </c>
      <c r="D1416" s="2" t="str">
        <f t="shared" si="21"/>
        <v>Error?</v>
      </c>
    </row>
    <row r="1417" spans="1:4" x14ac:dyDescent="0.2">
      <c r="A1417" s="5">
        <v>1356</v>
      </c>
      <c r="B1417" s="138">
        <f>'Expenditures 15-22'!D238</f>
        <v>6202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4204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4204</v>
      </c>
      <c r="C1421" s="2" t="s">
        <v>573</v>
      </c>
      <c r="D1421" s="2" t="str">
        <f t="shared" si="21"/>
        <v>Error?</v>
      </c>
    </row>
    <row r="1422" spans="1:4" x14ac:dyDescent="0.2">
      <c r="A1422" s="5">
        <v>1361</v>
      </c>
      <c r="B1422" s="138">
        <f>'Expenditures 15-22'!D245</f>
        <v>343</v>
      </c>
      <c r="D1422" s="2" t="str">
        <f t="shared" si="21"/>
        <v>Error?</v>
      </c>
    </row>
    <row r="1423" spans="1:4" x14ac:dyDescent="0.2">
      <c r="A1423" s="5">
        <v>1362</v>
      </c>
      <c r="B1423" s="138">
        <f>'Expenditures 15-22'!D246</f>
        <v>2154</v>
      </c>
      <c r="D1423" s="2" t="str">
        <f t="shared" si="21"/>
        <v>Error?</v>
      </c>
    </row>
    <row r="1424" spans="1:4" x14ac:dyDescent="0.2">
      <c r="A1424" s="5">
        <v>1363</v>
      </c>
      <c r="B1424" s="138">
        <f>'Expenditures 15-22'!D257</f>
        <v>2497</v>
      </c>
      <c r="C1424" s="2" t="s">
        <v>573</v>
      </c>
      <c r="D1424" s="2" t="str">
        <f t="shared" si="21"/>
        <v>Error?</v>
      </c>
    </row>
    <row r="1425" spans="1:4" x14ac:dyDescent="0.2">
      <c r="A1425" s="5">
        <v>1364</v>
      </c>
      <c r="B1425" s="138">
        <f>'Expenditures 15-22'!D259</f>
        <v>28520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28520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10850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48373</v>
      </c>
      <c r="D1431" s="2" t="str">
        <f t="shared" si="21"/>
        <v>Error?</v>
      </c>
    </row>
    <row r="1432" spans="1:4" x14ac:dyDescent="0.2">
      <c r="A1432" s="5">
        <v>1371</v>
      </c>
      <c r="B1432" s="138">
        <f>'Expenditures 15-22'!D267</f>
        <v>31187</v>
      </c>
      <c r="D1432" s="2" t="str">
        <f t="shared" si="21"/>
        <v>Error?</v>
      </c>
    </row>
    <row r="1433" spans="1:4" x14ac:dyDescent="0.2">
      <c r="A1433" s="5">
        <v>1372</v>
      </c>
      <c r="B1433" s="138">
        <f>'Expenditures 15-22'!D268</f>
        <v>10392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100802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142225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254729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5364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83510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1143</v>
      </c>
      <c r="C1476" s="2" t="s">
        <v>573</v>
      </c>
      <c r="D1476" s="2" t="str">
        <f t="shared" si="22"/>
        <v>Error?</v>
      </c>
    </row>
    <row r="1477" spans="1:4" x14ac:dyDescent="0.2">
      <c r="A1477" s="5">
        <v>1416</v>
      </c>
      <c r="B1477" s="138">
        <f>'Expenditures 15-22'!K234</f>
        <v>4920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139</v>
      </c>
      <c r="C1480" s="2" t="s">
        <v>573</v>
      </c>
      <c r="D1480" s="2" t="str">
        <f t="shared" si="22"/>
        <v>Error?</v>
      </c>
    </row>
    <row r="1481" spans="1:4" x14ac:dyDescent="0.2">
      <c r="A1481" s="5">
        <v>1420</v>
      </c>
      <c r="B1481" s="138">
        <f>'Expenditures 15-22'!K238</f>
        <v>6202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4204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4204</v>
      </c>
      <c r="C1485" s="2" t="s">
        <v>573</v>
      </c>
      <c r="D1485" s="2" t="str">
        <f t="shared" si="22"/>
        <v>Error?</v>
      </c>
    </row>
    <row r="1486" spans="1:4" x14ac:dyDescent="0.2">
      <c r="A1486" s="5">
        <v>1425</v>
      </c>
      <c r="B1486" s="138">
        <f>'Expenditures 15-22'!K245</f>
        <v>343</v>
      </c>
      <c r="C1486" s="2" t="s">
        <v>573</v>
      </c>
      <c r="D1486" s="2" t="str">
        <f t="shared" si="22"/>
        <v>Error?</v>
      </c>
    </row>
    <row r="1487" spans="1:4" x14ac:dyDescent="0.2">
      <c r="A1487" s="5">
        <v>1426</v>
      </c>
      <c r="B1487" s="138">
        <f>'Expenditures 15-22'!K246</f>
        <v>2154</v>
      </c>
      <c r="C1487" s="2" t="s">
        <v>573</v>
      </c>
      <c r="D1487" s="2" t="str">
        <f t="shared" si="22"/>
        <v>Error?</v>
      </c>
    </row>
    <row r="1488" spans="1:4" x14ac:dyDescent="0.2">
      <c r="A1488" s="5">
        <v>1427</v>
      </c>
      <c r="B1488" s="138">
        <f>'Expenditures 15-22'!K257</f>
        <v>2497</v>
      </c>
      <c r="C1488" s="2" t="s">
        <v>573</v>
      </c>
      <c r="D1488" s="2" t="str">
        <f t="shared" si="22"/>
        <v>Error?</v>
      </c>
    </row>
    <row r="1489" spans="1:4" x14ac:dyDescent="0.2">
      <c r="A1489" s="5">
        <v>1428</v>
      </c>
      <c r="B1489" s="138">
        <f>'Expenditures 15-22'!K259</f>
        <v>28520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28520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10850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48373</v>
      </c>
      <c r="C1495" s="2" t="s">
        <v>573</v>
      </c>
      <c r="D1495" s="2" t="str">
        <f t="shared" si="22"/>
        <v>Error?</v>
      </c>
    </row>
    <row r="1496" spans="1:4" x14ac:dyDescent="0.2">
      <c r="A1496" s="5">
        <v>1435</v>
      </c>
      <c r="B1496" s="138">
        <f>'Expenditures 15-22'!K267</f>
        <v>31187</v>
      </c>
      <c r="C1496" s="2" t="s">
        <v>573</v>
      </c>
      <c r="D1496" s="2" t="str">
        <f t="shared" si="22"/>
        <v>Error?</v>
      </c>
    </row>
    <row r="1497" spans="1:4" x14ac:dyDescent="0.2">
      <c r="A1497" s="5">
        <v>1436</v>
      </c>
      <c r="B1497" s="138">
        <f>'Expenditures 15-22'!K268</f>
        <v>10392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100802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142225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254729</v>
      </c>
      <c r="C1517" s="2" t="s">
        <v>573</v>
      </c>
      <c r="D1517" s="2" t="str">
        <f t="shared" si="22"/>
        <v>Error?</v>
      </c>
    </row>
    <row r="1518" spans="1:4" x14ac:dyDescent="0.2">
      <c r="A1518" s="5">
        <v>1457</v>
      </c>
      <c r="B1518" s="138">
        <f>'Expenditures 15-22'!K296</f>
        <v>75364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86156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86156</v>
      </c>
      <c r="C1535" s="2" t="s">
        <v>573</v>
      </c>
      <c r="D1535" s="2" t="str">
        <f t="shared" ref="D1535:D1598" si="23">IF(ISBLANK(B1535),"OK",IF(A1535-B1535=0,"OK","Error?"))</f>
        <v>Error?</v>
      </c>
    </row>
    <row r="1536" spans="1:4" x14ac:dyDescent="0.2">
      <c r="A1536" s="5">
        <v>1475</v>
      </c>
      <c r="B1536" s="138">
        <f>'Expenditures 15-22'!E312</f>
        <v>86156</v>
      </c>
      <c r="C1536" s="2" t="s">
        <v>573</v>
      </c>
      <c r="D1536" s="2" t="str">
        <f t="shared" si="23"/>
        <v>Error?</v>
      </c>
    </row>
    <row r="1537" spans="1:4" x14ac:dyDescent="0.2">
      <c r="A1537" s="5">
        <v>1476</v>
      </c>
      <c r="B1537" s="138">
        <f>'Expenditures 15-22'!F301</f>
        <v>5459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5459</v>
      </c>
      <c r="C1541" s="2" t="s">
        <v>573</v>
      </c>
      <c r="D1541" s="2" t="str">
        <f t="shared" si="23"/>
        <v>Error?</v>
      </c>
    </row>
    <row r="1542" spans="1:4" x14ac:dyDescent="0.2">
      <c r="A1542" s="5">
        <v>1481</v>
      </c>
      <c r="B1542" s="138">
        <f>'Expenditures 15-22'!F312</f>
        <v>5459</v>
      </c>
      <c r="C1542" s="2" t="s">
        <v>573</v>
      </c>
      <c r="D1542" s="2" t="str">
        <f t="shared" si="23"/>
        <v>Error?</v>
      </c>
    </row>
    <row r="1543" spans="1:4" x14ac:dyDescent="0.2">
      <c r="A1543" s="5">
        <v>1482</v>
      </c>
      <c r="B1543" s="138">
        <f>'Expenditures 15-22'!G301</f>
        <v>2994014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2994014</v>
      </c>
      <c r="C1547" s="2" t="s">
        <v>573</v>
      </c>
      <c r="D1547" s="2" t="str">
        <f t="shared" si="23"/>
        <v>Error?</v>
      </c>
    </row>
    <row r="1548" spans="1:4" x14ac:dyDescent="0.2">
      <c r="A1548" s="5">
        <v>1487</v>
      </c>
      <c r="B1548" s="138">
        <f>'Expenditures 15-22'!G312</f>
        <v>2994014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3085629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3085629</v>
      </c>
      <c r="C1559" s="2" t="s">
        <v>573</v>
      </c>
      <c r="D1559" s="2" t="str">
        <f t="shared" si="23"/>
        <v>Error?</v>
      </c>
    </row>
    <row r="1560" spans="1:4" x14ac:dyDescent="0.2">
      <c r="A1560" s="5">
        <v>1499</v>
      </c>
      <c r="B1560" s="138">
        <f>'Expenditures 15-22'!K312</f>
        <v>3085629</v>
      </c>
      <c r="C1560" s="2" t="s">
        <v>573</v>
      </c>
      <c r="D1560" s="2" t="str">
        <f t="shared" si="23"/>
        <v>Error?</v>
      </c>
    </row>
    <row r="1561" spans="1:4" x14ac:dyDescent="0.2">
      <c r="A1561" s="5">
        <v>1500</v>
      </c>
      <c r="B1561" s="138">
        <f>'Expenditures 15-22'!K313</f>
        <v>-2993921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1256585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1307141</v>
      </c>
      <c r="C1630" s="2" t="s">
        <v>573</v>
      </c>
      <c r="D1630" s="2" t="str">
        <f t="shared" si="24"/>
        <v>Error?</v>
      </c>
    </row>
    <row r="1631" spans="1:4" x14ac:dyDescent="0.2">
      <c r="A1631" s="5">
        <v>1570</v>
      </c>
      <c r="B1631" s="138">
        <f>'Acct Summary 7-8'!D79</f>
        <v>1045550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710788</v>
      </c>
      <c r="C1644" s="2" t="s">
        <v>573</v>
      </c>
      <c r="D1644" s="2" t="str">
        <f t="shared" si="24"/>
        <v>Error?</v>
      </c>
    </row>
    <row r="1645" spans="1:4" x14ac:dyDescent="0.2">
      <c r="A1645" s="5">
        <v>1584</v>
      </c>
      <c r="B1645" s="138">
        <f>'Acct Summary 7-8'!E79</f>
        <v>625440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614016</v>
      </c>
      <c r="C1658" s="2" t="s">
        <v>573</v>
      </c>
      <c r="D1658" s="2" t="str">
        <f t="shared" si="24"/>
        <v>Error?</v>
      </c>
    </row>
    <row r="1659" spans="1:4" x14ac:dyDescent="0.2">
      <c r="A1659" s="5">
        <v>1598</v>
      </c>
      <c r="B1659" s="138">
        <f>'Acct Summary 7-8'!F79</f>
        <v>731190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580039</v>
      </c>
      <c r="C1672" s="2" t="s">
        <v>573</v>
      </c>
      <c r="D1672" s="2" t="str">
        <f t="shared" si="25"/>
        <v>Error?</v>
      </c>
    </row>
    <row r="1673" spans="1:4" x14ac:dyDescent="0.2">
      <c r="A1673" s="5">
        <v>1612</v>
      </c>
      <c r="B1673" s="138">
        <f>'Acct Summary 7-8'!G79</f>
        <v>224787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300151</v>
      </c>
      <c r="C1686" s="2" t="s">
        <v>573</v>
      </c>
      <c r="D1686" s="2" t="str">
        <f t="shared" si="25"/>
        <v>Error?</v>
      </c>
    </row>
    <row r="1687" spans="1:4" x14ac:dyDescent="0.2">
      <c r="A1687" s="5">
        <v>1626</v>
      </c>
      <c r="B1687" s="138">
        <f>'Acct Summary 7-8'!H79</f>
        <v>3531065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537144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3231633</v>
      </c>
      <c r="C1744" s="2" t="s">
        <v>573</v>
      </c>
      <c r="D1744" s="2" t="str">
        <f t="shared" si="26"/>
        <v>Error?</v>
      </c>
    </row>
    <row r="1745" spans="1:5" x14ac:dyDescent="0.2">
      <c r="A1745" s="5">
        <v>1684</v>
      </c>
      <c r="B1745" s="138">
        <f>'Tax Sched 23'!B5</f>
        <v>656836</v>
      </c>
      <c r="C1745" s="2" t="s">
        <v>573</v>
      </c>
      <c r="D1745" s="2" t="str">
        <f t="shared" si="26"/>
        <v>Error?</v>
      </c>
    </row>
    <row r="1746" spans="1:5" x14ac:dyDescent="0.2">
      <c r="A1746" s="5">
        <v>1685</v>
      </c>
      <c r="B1746" s="138">
        <f>'Tax Sched 23'!B6</f>
        <v>778540</v>
      </c>
      <c r="C1746" s="2" t="s">
        <v>573</v>
      </c>
      <c r="D1746" s="2" t="str">
        <f t="shared" si="26"/>
        <v>Error?</v>
      </c>
    </row>
    <row r="1747" spans="1:5" x14ac:dyDescent="0.2">
      <c r="A1747" s="5">
        <v>1686</v>
      </c>
      <c r="B1747" s="138">
        <f>'Tax Sched 23'!B7</f>
        <v>262735</v>
      </c>
      <c r="C1747" s="2" t="s">
        <v>573</v>
      </c>
      <c r="D1747" s="2" t="str">
        <f t="shared" si="26"/>
        <v>Error?</v>
      </c>
    </row>
    <row r="1748" spans="1:5" x14ac:dyDescent="0.2">
      <c r="A1748" s="5">
        <v>1687</v>
      </c>
      <c r="B1748" s="138">
        <f>'Tax Sched 23'!B8</f>
        <v>194213</v>
      </c>
      <c r="C1748" s="2" t="s">
        <v>573</v>
      </c>
      <c r="D1748" s="2" t="str">
        <f t="shared" si="26"/>
        <v>Error?</v>
      </c>
    </row>
    <row r="1749" spans="1:5" x14ac:dyDescent="0.2">
      <c r="A1749" s="5">
        <v>1688</v>
      </c>
      <c r="B1749" s="138">
        <f>'Tax Sched 23'!B10</f>
        <v>65684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283858</v>
      </c>
      <c r="C1752" s="2" t="s">
        <v>573</v>
      </c>
      <c r="D1752" s="2" t="str">
        <f t="shared" si="26"/>
        <v>Error?</v>
      </c>
    </row>
    <row r="1753" spans="1:5" x14ac:dyDescent="0.2">
      <c r="A1753" s="5">
        <v>1692</v>
      </c>
      <c r="B1753" s="138">
        <f>'Tax Sched 23'!B12</f>
        <v>65684</v>
      </c>
      <c r="C1753" s="2" t="s">
        <v>573</v>
      </c>
      <c r="D1753" s="2" t="str">
        <f t="shared" si="26"/>
        <v>Error?</v>
      </c>
    </row>
    <row r="1754" spans="1:5" x14ac:dyDescent="0.2">
      <c r="A1754" s="5">
        <v>1693</v>
      </c>
      <c r="B1754" s="138">
        <f>'Tax Sched 23'!B14</f>
        <v>52547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5774948</v>
      </c>
      <c r="C1759" s="2" t="s">
        <v>573</v>
      </c>
      <c r="D1759" s="2" t="str">
        <f t="shared" si="26"/>
        <v>Error?</v>
      </c>
    </row>
    <row r="1760" spans="1:5" x14ac:dyDescent="0.2">
      <c r="A1760" s="5">
        <v>1699</v>
      </c>
      <c r="B1760" s="138">
        <f>'Tax Sched 23'!D4</f>
        <v>3231633</v>
      </c>
      <c r="C1760" s="2" t="s">
        <v>573</v>
      </c>
      <c r="D1760" s="2" t="str">
        <f t="shared" si="26"/>
        <v>Error?</v>
      </c>
    </row>
    <row r="1761" spans="1:5" x14ac:dyDescent="0.2">
      <c r="A1761" s="5">
        <v>1700</v>
      </c>
      <c r="B1761" s="138">
        <f>'Tax Sched 23'!D5</f>
        <v>656836</v>
      </c>
      <c r="C1761" s="2" t="s">
        <v>573</v>
      </c>
      <c r="D1761" s="2" t="str">
        <f t="shared" si="26"/>
        <v>Error?</v>
      </c>
    </row>
    <row r="1762" spans="1:5" s="8" customFormat="1" x14ac:dyDescent="0.2">
      <c r="A1762" s="5">
        <v>1701</v>
      </c>
      <c r="B1762" s="138">
        <f>'Tax Sched 23'!D6</f>
        <v>778540</v>
      </c>
      <c r="C1762" s="2" t="s">
        <v>573</v>
      </c>
      <c r="D1762" s="2" t="str">
        <f t="shared" si="26"/>
        <v>Error?</v>
      </c>
      <c r="E1762" s="9"/>
    </row>
    <row r="1763" spans="1:5" x14ac:dyDescent="0.2">
      <c r="A1763" s="5">
        <v>1702</v>
      </c>
      <c r="B1763" s="138">
        <f>'Tax Sched 23'!D7</f>
        <v>262735</v>
      </c>
      <c r="C1763" s="2" t="s">
        <v>573</v>
      </c>
      <c r="D1763" s="2" t="str">
        <f t="shared" si="26"/>
        <v>Error?</v>
      </c>
    </row>
    <row r="1764" spans="1:5" x14ac:dyDescent="0.2">
      <c r="A1764" s="5">
        <v>1703</v>
      </c>
      <c r="B1764" s="138">
        <f>'Tax Sched 23'!D8</f>
        <v>194213</v>
      </c>
      <c r="C1764" s="2" t="s">
        <v>573</v>
      </c>
      <c r="D1764" s="2" t="str">
        <f t="shared" si="26"/>
        <v>Error?</v>
      </c>
    </row>
    <row r="1765" spans="1:5" x14ac:dyDescent="0.2">
      <c r="A1765" s="5">
        <v>1704</v>
      </c>
      <c r="B1765" s="138">
        <f>'Tax Sched 23'!D10</f>
        <v>65684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283858</v>
      </c>
      <c r="C1768" s="2" t="s">
        <v>573</v>
      </c>
      <c r="D1768" s="2" t="str">
        <f t="shared" si="26"/>
        <v>Error?</v>
      </c>
    </row>
    <row r="1769" spans="1:5" x14ac:dyDescent="0.2">
      <c r="A1769" s="5">
        <v>1708</v>
      </c>
      <c r="B1769" s="138">
        <f>'Tax Sched 23'!D12</f>
        <v>65684</v>
      </c>
      <c r="C1769" s="2" t="s">
        <v>573</v>
      </c>
      <c r="D1769" s="2" t="str">
        <f t="shared" si="26"/>
        <v>Error?</v>
      </c>
    </row>
    <row r="1770" spans="1:5" x14ac:dyDescent="0.2">
      <c r="A1770" s="5">
        <v>1709</v>
      </c>
      <c r="B1770" s="138">
        <f>'Tax Sched 23'!D14</f>
        <v>52547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5774948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3278647</v>
      </c>
      <c r="C1792" s="2" t="s">
        <v>573</v>
      </c>
      <c r="D1792" s="2" t="str">
        <f t="shared" si="27"/>
        <v>Error?</v>
      </c>
    </row>
    <row r="1793" spans="1:4" x14ac:dyDescent="0.2">
      <c r="A1793" s="5">
        <v>1732</v>
      </c>
      <c r="B1793" s="138">
        <f>'Tax Sched 23'!F5</f>
        <v>666392</v>
      </c>
      <c r="C1793" s="2" t="s">
        <v>573</v>
      </c>
      <c r="D1793" s="2" t="str">
        <f t="shared" si="27"/>
        <v>Error?</v>
      </c>
    </row>
    <row r="1794" spans="1:4" x14ac:dyDescent="0.2">
      <c r="A1794" s="5">
        <v>1733</v>
      </c>
      <c r="B1794" s="138">
        <f>'Tax Sched 23'!F6</f>
        <v>790453</v>
      </c>
      <c r="C1794" s="2" t="s">
        <v>573</v>
      </c>
      <c r="D1794" s="2" t="str">
        <f t="shared" si="27"/>
        <v>Error?</v>
      </c>
    </row>
    <row r="1795" spans="1:4" x14ac:dyDescent="0.2">
      <c r="A1795" s="5">
        <v>1734</v>
      </c>
      <c r="B1795" s="138">
        <f>'Tax Sched 23'!F7</f>
        <v>266557</v>
      </c>
      <c r="C1795" s="2" t="s">
        <v>573</v>
      </c>
      <c r="D1795" s="2" t="str">
        <f t="shared" si="27"/>
        <v>Error?</v>
      </c>
    </row>
    <row r="1796" spans="1:4" x14ac:dyDescent="0.2">
      <c r="A1796" s="5">
        <v>1735</v>
      </c>
      <c r="B1796" s="138">
        <f>'Tax Sched 23'!F8</f>
        <v>100012</v>
      </c>
      <c r="C1796" s="2" t="s">
        <v>573</v>
      </c>
      <c r="D1796" s="2" t="str">
        <f t="shared" si="27"/>
        <v>Error?</v>
      </c>
    </row>
    <row r="1797" spans="1:4" x14ac:dyDescent="0.2">
      <c r="A1797" s="5">
        <v>1736</v>
      </c>
      <c r="B1797" s="138">
        <f>'Tax Sched 23'!F10</f>
        <v>66639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315003</v>
      </c>
      <c r="C1800" s="2" t="s">
        <v>573</v>
      </c>
      <c r="D1800" s="2" t="str">
        <f t="shared" si="27"/>
        <v>Error?</v>
      </c>
    </row>
    <row r="1801" spans="1:4" x14ac:dyDescent="0.2">
      <c r="A1801" s="5">
        <v>1740</v>
      </c>
      <c r="B1801" s="138">
        <f>'Tax Sched 23'!F12</f>
        <v>66639</v>
      </c>
      <c r="C1801" s="2" t="s">
        <v>573</v>
      </c>
      <c r="D1801" s="2" t="str">
        <f t="shared" si="27"/>
        <v>Error?</v>
      </c>
    </row>
    <row r="1802" spans="1:4" x14ac:dyDescent="0.2">
      <c r="A1802" s="5">
        <v>1741</v>
      </c>
      <c r="B1802" s="138">
        <f>'Tax Sched 23'!F14</f>
        <v>53311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5845300</v>
      </c>
      <c r="C1807" s="2" t="s">
        <v>573</v>
      </c>
      <c r="D1807" s="2" t="str">
        <f t="shared" si="27"/>
        <v>Error?</v>
      </c>
    </row>
    <row r="1808" spans="1:4" x14ac:dyDescent="0.2">
      <c r="A1808" s="5">
        <v>1747</v>
      </c>
      <c r="B1808" s="138">
        <f>'Tax Sched 23'!E4</f>
        <v>3278647</v>
      </c>
      <c r="D1808" s="2" t="str">
        <f t="shared" si="27"/>
        <v>Error?</v>
      </c>
    </row>
    <row r="1809" spans="1:4" x14ac:dyDescent="0.2">
      <c r="A1809" s="5">
        <v>1748</v>
      </c>
      <c r="B1809" s="138">
        <f>'Tax Sched 23'!E5</f>
        <v>666392</v>
      </c>
      <c r="D1809" s="2" t="str">
        <f t="shared" si="27"/>
        <v>Error?</v>
      </c>
    </row>
    <row r="1810" spans="1:4" x14ac:dyDescent="0.2">
      <c r="A1810" s="5">
        <v>1749</v>
      </c>
      <c r="B1810" s="138">
        <f>'Tax Sched 23'!E6</f>
        <v>790453</v>
      </c>
      <c r="D1810" s="2" t="str">
        <f t="shared" si="27"/>
        <v>Error?</v>
      </c>
    </row>
    <row r="1811" spans="1:4" x14ac:dyDescent="0.2">
      <c r="A1811" s="5">
        <v>1750</v>
      </c>
      <c r="B1811" s="138">
        <f>'Tax Sched 23'!E7</f>
        <v>266557</v>
      </c>
      <c r="D1811" s="2" t="str">
        <f t="shared" si="27"/>
        <v>Error?</v>
      </c>
    </row>
    <row r="1812" spans="1:4" x14ac:dyDescent="0.2">
      <c r="A1812" s="5">
        <v>1751</v>
      </c>
      <c r="B1812" s="138">
        <f>'Tax Sched 23'!E8</f>
        <v>100012</v>
      </c>
      <c r="D1812" s="2" t="str">
        <f t="shared" si="27"/>
        <v>Error?</v>
      </c>
    </row>
    <row r="1813" spans="1:4" x14ac:dyDescent="0.2">
      <c r="A1813" s="5">
        <v>1752</v>
      </c>
      <c r="B1813" s="138">
        <f>'Tax Sched 23'!E10</f>
        <v>66639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315003</v>
      </c>
      <c r="D1816" s="2" t="str">
        <f t="shared" si="27"/>
        <v>Error?</v>
      </c>
    </row>
    <row r="1817" spans="1:4" x14ac:dyDescent="0.2">
      <c r="A1817" s="5">
        <v>1756</v>
      </c>
      <c r="B1817" s="138">
        <f>'Tax Sched 23'!E12</f>
        <v>66639</v>
      </c>
      <c r="D1817" s="2" t="str">
        <f t="shared" si="27"/>
        <v>Error?</v>
      </c>
    </row>
    <row r="1818" spans="1:4" x14ac:dyDescent="0.2">
      <c r="A1818" s="5">
        <v>1757</v>
      </c>
      <c r="B1818" s="138">
        <f>'Tax Sched 23'!E14</f>
        <v>53311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5845300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11825000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52547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52547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52547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67265</v>
      </c>
      <c r="D2008" s="2" t="str">
        <f t="shared" si="30"/>
        <v>Error?</v>
      </c>
    </row>
    <row r="2009" spans="1:4" x14ac:dyDescent="0.2">
      <c r="A2009" s="5">
        <v>1948</v>
      </c>
      <c r="B2009" s="138">
        <f>'Cap Outlay Deprec 26'!C8</f>
        <v>23432194</v>
      </c>
      <c r="D2009" s="2" t="str">
        <f t="shared" si="30"/>
        <v>Error?</v>
      </c>
    </row>
    <row r="2010" spans="1:4" x14ac:dyDescent="0.2">
      <c r="A2010" s="5">
        <v>1949</v>
      </c>
      <c r="B2010" s="138">
        <f>'Cap Outlay Deprec 26'!C10</f>
        <v>3201703</v>
      </c>
      <c r="D2010" s="2" t="str">
        <f t="shared" si="30"/>
        <v>Error?</v>
      </c>
    </row>
    <row r="2011" spans="1:4" x14ac:dyDescent="0.2">
      <c r="A2011" s="5">
        <v>1950</v>
      </c>
      <c r="B2011" s="138">
        <f>'Cap Outlay Deprec 26'!C12</f>
        <v>1052268</v>
      </c>
      <c r="D2011" s="2" t="str">
        <f t="shared" si="30"/>
        <v>Error?</v>
      </c>
    </row>
    <row r="2012" spans="1:4" x14ac:dyDescent="0.2">
      <c r="A2012" s="5">
        <v>1951</v>
      </c>
      <c r="B2012" s="138">
        <f>'Cap Outlay Deprec 26'!C13</f>
        <v>152349</v>
      </c>
      <c r="D2012" s="2" t="str">
        <f t="shared" si="30"/>
        <v>Error?</v>
      </c>
    </row>
    <row r="2013" spans="1:4" x14ac:dyDescent="0.2">
      <c r="A2013" s="5">
        <v>1952</v>
      </c>
      <c r="B2013" s="138">
        <f>'Cap Outlay Deprec 26'!C16</f>
        <v>27905779</v>
      </c>
      <c r="C2013" s="2" t="s">
        <v>573</v>
      </c>
      <c r="D2013" s="2" t="str">
        <f t="shared" si="30"/>
        <v>Error?</v>
      </c>
    </row>
    <row r="2014" spans="1:4" x14ac:dyDescent="0.2">
      <c r="A2014" s="5">
        <v>1953</v>
      </c>
      <c r="B2014" s="138">
        <f>'Cap Outlay Deprec 26'!D5</f>
        <v>8610</v>
      </c>
      <c r="D2014" s="2" t="str">
        <f t="shared" si="30"/>
        <v>Error?</v>
      </c>
    </row>
    <row r="2015" spans="1:4" x14ac:dyDescent="0.2">
      <c r="A2015" s="5">
        <v>1954</v>
      </c>
      <c r="B2015" s="138">
        <f>'Cap Outlay Deprec 26'!D8</f>
        <v>1013900</v>
      </c>
      <c r="D2015" s="2" t="str">
        <f t="shared" si="30"/>
        <v>Error?</v>
      </c>
    </row>
    <row r="2016" spans="1:4" x14ac:dyDescent="0.2">
      <c r="A2016" s="5">
        <v>1955</v>
      </c>
      <c r="B2016" s="138">
        <f>'Cap Outlay Deprec 26'!D10</f>
        <v>2296923</v>
      </c>
      <c r="D2016" s="2" t="str">
        <f t="shared" si="30"/>
        <v>Error?</v>
      </c>
    </row>
    <row r="2017" spans="1:4" x14ac:dyDescent="0.2">
      <c r="A2017" s="5">
        <v>1956</v>
      </c>
      <c r="B2017" s="138">
        <f>'Cap Outlay Deprec 26'!D12</f>
        <v>74743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3394176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75875</v>
      </c>
      <c r="C2026" s="2" t="s">
        <v>573</v>
      </c>
      <c r="D2026" s="2" t="str">
        <f t="shared" si="30"/>
        <v>Error?</v>
      </c>
    </row>
    <row r="2027" spans="1:4" x14ac:dyDescent="0.2">
      <c r="A2027" s="5">
        <v>1966</v>
      </c>
      <c r="B2027" s="138">
        <f>'Cap Outlay Deprec 26'!F8</f>
        <v>24446094</v>
      </c>
      <c r="C2027" s="2" t="s">
        <v>573</v>
      </c>
      <c r="D2027" s="2" t="str">
        <f t="shared" si="30"/>
        <v>Error?</v>
      </c>
    </row>
    <row r="2028" spans="1:4" x14ac:dyDescent="0.2">
      <c r="A2028" s="5">
        <v>1967</v>
      </c>
      <c r="B2028" s="138">
        <f>'Cap Outlay Deprec 26'!F10</f>
        <v>5498626</v>
      </c>
      <c r="C2028" s="2" t="s">
        <v>573</v>
      </c>
      <c r="D2028" s="2" t="str">
        <f t="shared" si="30"/>
        <v>Error?</v>
      </c>
    </row>
    <row r="2029" spans="1:4" x14ac:dyDescent="0.2">
      <c r="A2029" s="5">
        <v>1968</v>
      </c>
      <c r="B2029" s="138">
        <f>'Cap Outlay Deprec 26'!F12</f>
        <v>1127011</v>
      </c>
      <c r="C2029" s="2" t="s">
        <v>573</v>
      </c>
      <c r="D2029" s="2" t="str">
        <f t="shared" si="30"/>
        <v>Error?</v>
      </c>
    </row>
    <row r="2030" spans="1:4" x14ac:dyDescent="0.2">
      <c r="A2030" s="5">
        <v>1969</v>
      </c>
      <c r="B2030" s="138">
        <f>'Cap Outlay Deprec 26'!F13</f>
        <v>152349</v>
      </c>
      <c r="C2030" s="2" t="s">
        <v>573</v>
      </c>
      <c r="D2030" s="2" t="str">
        <f t="shared" si="30"/>
        <v>Error?</v>
      </c>
    </row>
    <row r="2031" spans="1:4" x14ac:dyDescent="0.2">
      <c r="A2031" s="5">
        <v>1970</v>
      </c>
      <c r="B2031" s="138">
        <f>'Cap Outlay Deprec 26'!F16</f>
        <v>31299955</v>
      </c>
      <c r="C2031" s="2" t="s">
        <v>573</v>
      </c>
      <c r="D2031" s="2" t="str">
        <f t="shared" si="30"/>
        <v>Error?</v>
      </c>
    </row>
    <row r="2032" spans="1:4" x14ac:dyDescent="0.2">
      <c r="A2032" s="10">
        <v>1971</v>
      </c>
      <c r="D2032" s="2" t="str">
        <f t="shared" si="30"/>
        <v>OK</v>
      </c>
    </row>
    <row r="2033" spans="1:4" x14ac:dyDescent="0.2">
      <c r="A2033" s="5">
        <v>1972</v>
      </c>
      <c r="B2033" s="138">
        <f>'Cap Outlay Deprec 26'!H8</f>
        <v>8344652</v>
      </c>
      <c r="D2033" s="2" t="str">
        <f t="shared" si="30"/>
        <v>Error?</v>
      </c>
    </row>
    <row r="2034" spans="1:4" x14ac:dyDescent="0.2">
      <c r="A2034" s="5">
        <v>1973</v>
      </c>
      <c r="B2034" s="138">
        <f>'Cap Outlay Deprec 26'!H10</f>
        <v>512952</v>
      </c>
      <c r="D2034" s="2" t="str">
        <f t="shared" si="30"/>
        <v>Error?</v>
      </c>
    </row>
    <row r="2035" spans="1:4" x14ac:dyDescent="0.2">
      <c r="A2035" s="5">
        <v>1974</v>
      </c>
      <c r="B2035" s="138">
        <f>'Cap Outlay Deprec 26'!H12</f>
        <v>645558</v>
      </c>
      <c r="D2035" s="2" t="str">
        <f t="shared" si="30"/>
        <v>Error?</v>
      </c>
    </row>
    <row r="2036" spans="1:4" x14ac:dyDescent="0.2">
      <c r="A2036" s="5">
        <v>1975</v>
      </c>
      <c r="B2036" s="138">
        <f>'Cap Outlay Deprec 26'!H13</f>
        <v>105374</v>
      </c>
      <c r="D2036" s="2" t="str">
        <f t="shared" si="30"/>
        <v>Error?</v>
      </c>
    </row>
    <row r="2037" spans="1:4" x14ac:dyDescent="0.2">
      <c r="A2037" s="5">
        <v>1976</v>
      </c>
      <c r="B2037" s="138">
        <f>'Cap Outlay Deprec 26'!H16</f>
        <v>9608536</v>
      </c>
      <c r="C2037" s="2" t="s">
        <v>573</v>
      </c>
      <c r="D2037" s="2" t="str">
        <f t="shared" si="30"/>
        <v>Error?</v>
      </c>
    </row>
    <row r="2038" spans="1:4" x14ac:dyDescent="0.2">
      <c r="A2038" s="10">
        <v>1977</v>
      </c>
      <c r="D2038" s="2" t="str">
        <f t="shared" si="30"/>
        <v>OK</v>
      </c>
    </row>
    <row r="2039" spans="1:4" x14ac:dyDescent="0.2">
      <c r="A2039" s="5">
        <v>1978</v>
      </c>
      <c r="B2039" s="138">
        <f>'Cap Outlay Deprec 26'!I8</f>
        <v>479817</v>
      </c>
      <c r="D2039" s="2" t="str">
        <f t="shared" si="30"/>
        <v>Error?</v>
      </c>
    </row>
    <row r="2040" spans="1:4" x14ac:dyDescent="0.2">
      <c r="A2040" s="5">
        <v>1979</v>
      </c>
      <c r="B2040" s="138">
        <f>'Cap Outlay Deprec 26'!I10</f>
        <v>226330</v>
      </c>
      <c r="D2040" s="2" t="str">
        <f t="shared" si="30"/>
        <v>Error?</v>
      </c>
    </row>
    <row r="2041" spans="1:4" x14ac:dyDescent="0.2">
      <c r="A2041" s="5">
        <v>1980</v>
      </c>
      <c r="B2041" s="138">
        <f>'Cap Outlay Deprec 26'!I12</f>
        <v>64589</v>
      </c>
      <c r="D2041" s="2" t="str">
        <f t="shared" si="30"/>
        <v>Error?</v>
      </c>
    </row>
    <row r="2042" spans="1:4" x14ac:dyDescent="0.2">
      <c r="A2042" s="5">
        <v>1981</v>
      </c>
      <c r="B2042" s="138">
        <f>'Cap Outlay Deprec 26'!I13</f>
        <v>19331</v>
      </c>
      <c r="D2042" s="2" t="str">
        <f t="shared" si="30"/>
        <v>Error?</v>
      </c>
    </row>
    <row r="2043" spans="1:4" x14ac:dyDescent="0.2">
      <c r="A2043" s="5">
        <v>1982</v>
      </c>
      <c r="B2043" s="138">
        <f>'Cap Outlay Deprec 26'!I16</f>
        <v>790067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8824469</v>
      </c>
      <c r="C2051" s="2" t="s">
        <v>573</v>
      </c>
      <c r="D2051" s="2" t="str">
        <f t="shared" si="31"/>
        <v>Error?</v>
      </c>
    </row>
    <row r="2052" spans="1:4" x14ac:dyDescent="0.2">
      <c r="A2052" s="5">
        <v>1991</v>
      </c>
      <c r="B2052" s="138">
        <f>'Cap Outlay Deprec 26'!K10</f>
        <v>739282</v>
      </c>
      <c r="C2052" s="2" t="s">
        <v>573</v>
      </c>
      <c r="D2052" s="2" t="str">
        <f t="shared" si="31"/>
        <v>Error?</v>
      </c>
    </row>
    <row r="2053" spans="1:4" x14ac:dyDescent="0.2">
      <c r="A2053" s="5">
        <v>1992</v>
      </c>
      <c r="B2053" s="138">
        <f>'Cap Outlay Deprec 26'!K12</f>
        <v>710147</v>
      </c>
      <c r="C2053" s="2" t="s">
        <v>573</v>
      </c>
      <c r="D2053" s="2" t="str">
        <f t="shared" si="31"/>
        <v>Error?</v>
      </c>
    </row>
    <row r="2054" spans="1:4" x14ac:dyDescent="0.2">
      <c r="A2054" s="5">
        <v>1993</v>
      </c>
      <c r="B2054" s="138">
        <f>'Cap Outlay Deprec 26'!K13</f>
        <v>124705</v>
      </c>
      <c r="C2054" s="2" t="s">
        <v>573</v>
      </c>
      <c r="D2054" s="2" t="str">
        <f t="shared" si="31"/>
        <v>Error?</v>
      </c>
    </row>
    <row r="2055" spans="1:4" x14ac:dyDescent="0.2">
      <c r="A2055" s="5">
        <v>1994</v>
      </c>
      <c r="B2055" s="138">
        <f>'Cap Outlay Deprec 26'!K16</f>
        <v>10398603</v>
      </c>
      <c r="C2055" s="2" t="s">
        <v>573</v>
      </c>
      <c r="D2055" s="2" t="str">
        <f t="shared" si="31"/>
        <v>Error?</v>
      </c>
    </row>
    <row r="2056" spans="1:4" x14ac:dyDescent="0.2">
      <c r="A2056" s="5">
        <v>1995</v>
      </c>
      <c r="B2056" s="138">
        <f>'Cap Outlay Deprec 26'!L5</f>
        <v>75875</v>
      </c>
      <c r="C2056" s="2" t="s">
        <v>573</v>
      </c>
      <c r="D2056" s="2" t="str">
        <f t="shared" si="31"/>
        <v>Error?</v>
      </c>
    </row>
    <row r="2057" spans="1:4" x14ac:dyDescent="0.2">
      <c r="A2057" s="5">
        <v>1996</v>
      </c>
      <c r="B2057" s="138">
        <f>'Cap Outlay Deprec 26'!L8</f>
        <v>15621625</v>
      </c>
      <c r="C2057" s="2" t="s">
        <v>573</v>
      </c>
      <c r="D2057" s="2" t="str">
        <f t="shared" si="31"/>
        <v>Error?</v>
      </c>
    </row>
    <row r="2058" spans="1:4" x14ac:dyDescent="0.2">
      <c r="A2058" s="5">
        <v>1997</v>
      </c>
      <c r="B2058" s="138">
        <f>'Cap Outlay Deprec 26'!L10</f>
        <v>4759344</v>
      </c>
      <c r="C2058" s="2" t="s">
        <v>573</v>
      </c>
      <c r="D2058" s="2" t="str">
        <f t="shared" si="31"/>
        <v>Error?</v>
      </c>
    </row>
    <row r="2059" spans="1:4" x14ac:dyDescent="0.2">
      <c r="A2059" s="5">
        <v>1998</v>
      </c>
      <c r="B2059" s="138">
        <f>'Cap Outlay Deprec 26'!L12</f>
        <v>416864</v>
      </c>
      <c r="C2059" s="2" t="s">
        <v>573</v>
      </c>
      <c r="D2059" s="2" t="str">
        <f t="shared" si="31"/>
        <v>Error?</v>
      </c>
    </row>
    <row r="2060" spans="1:4" x14ac:dyDescent="0.2">
      <c r="A2060" s="5">
        <v>1999</v>
      </c>
      <c r="B2060" s="138">
        <f>'Cap Outlay Deprec 26'!L13</f>
        <v>27644</v>
      </c>
      <c r="C2060" s="2" t="s">
        <v>573</v>
      </c>
      <c r="D2060" s="2" t="str">
        <f t="shared" si="31"/>
        <v>Error?</v>
      </c>
    </row>
    <row r="2061" spans="1:4" x14ac:dyDescent="0.2">
      <c r="A2061" s="5">
        <v>2000</v>
      </c>
      <c r="B2061" s="138">
        <f>'Cap Outlay Deprec 26'!L16</f>
        <v>20901352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478728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75922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3672088</v>
      </c>
      <c r="C2551" s="2" t="s">
        <v>573</v>
      </c>
      <c r="D2551" s="2" t="str">
        <f t="shared" si="38"/>
        <v>Error?</v>
      </c>
    </row>
    <row r="2552" spans="1:4" x14ac:dyDescent="0.2">
      <c r="A2552" s="10">
        <v>2491</v>
      </c>
      <c r="D2552" s="2" t="str">
        <f t="shared" si="38"/>
        <v>OK</v>
      </c>
    </row>
    <row r="2553" spans="1:4" x14ac:dyDescent="0.2">
      <c r="A2553" s="5">
        <v>2492</v>
      </c>
      <c r="B2553" s="138">
        <f>'Acct Summary 7-8'!C6</f>
        <v>2510298</v>
      </c>
      <c r="C2553" s="2" t="s">
        <v>573</v>
      </c>
      <c r="D2553" s="2" t="str">
        <f t="shared" si="38"/>
        <v>Error?</v>
      </c>
    </row>
    <row r="2554" spans="1:4" x14ac:dyDescent="0.2">
      <c r="A2554" s="5">
        <v>2493</v>
      </c>
      <c r="B2554" s="138">
        <f>'Acct Summary 7-8'!C7</f>
        <v>528443</v>
      </c>
      <c r="C2554" s="2" t="s">
        <v>573</v>
      </c>
      <c r="D2554" s="2" t="str">
        <f t="shared" si="38"/>
        <v>Error?</v>
      </c>
    </row>
    <row r="2555" spans="1:4" x14ac:dyDescent="0.2">
      <c r="A2555" s="5">
        <v>2494</v>
      </c>
      <c r="B2555" s="138">
        <f>'Acct Summary 7-8'!C8</f>
        <v>6710829</v>
      </c>
      <c r="C2555" s="2" t="s">
        <v>573</v>
      </c>
      <c r="D2555" s="2" t="str">
        <f t="shared" si="38"/>
        <v>Error?</v>
      </c>
    </row>
    <row r="2556" spans="1:4" x14ac:dyDescent="0.2">
      <c r="A2556" s="5">
        <v>2495</v>
      </c>
      <c r="B2556" s="138">
        <f>'Acct Summary 7-8'!C12</f>
        <v>4768793</v>
      </c>
      <c r="C2556" s="2" t="s">
        <v>573</v>
      </c>
      <c r="D2556" s="2" t="str">
        <f t="shared" si="38"/>
        <v>Error?</v>
      </c>
    </row>
    <row r="2557" spans="1:4" x14ac:dyDescent="0.2">
      <c r="A2557" s="5">
        <v>2496</v>
      </c>
      <c r="B2557" s="138">
        <f>'Acct Summary 7-8'!C13</f>
        <v>1417907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478728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6665428</v>
      </c>
      <c r="C2561" s="2" t="s">
        <v>573</v>
      </c>
      <c r="D2561" s="2" t="str">
        <f t="shared" si="39"/>
        <v>Error?</v>
      </c>
    </row>
    <row r="2562" spans="1:4" x14ac:dyDescent="0.2">
      <c r="A2562" s="5">
        <v>2501</v>
      </c>
      <c r="B2562" s="138">
        <f>'Acct Summary 7-8'!C20</f>
        <v>45401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812300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812300</v>
      </c>
      <c r="C2568" s="2" t="s">
        <v>573</v>
      </c>
      <c r="D2568" s="2" t="str">
        <f t="shared" si="39"/>
        <v>Error?</v>
      </c>
    </row>
    <row r="2569" spans="1:4" x14ac:dyDescent="0.2">
      <c r="A2569" s="5">
        <v>2508</v>
      </c>
      <c r="B2569" s="138">
        <f>'Acct Summary 7-8'!D13</f>
        <v>1147062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1147062</v>
      </c>
      <c r="C2573" s="2" t="s">
        <v>573</v>
      </c>
      <c r="D2573" s="2" t="str">
        <f t="shared" si="39"/>
        <v>Error?</v>
      </c>
    </row>
    <row r="2574" spans="1:4" x14ac:dyDescent="0.2">
      <c r="A2574" s="5">
        <v>2513</v>
      </c>
      <c r="B2574" s="138">
        <f>'Acct Summary 7-8'!D20</f>
        <v>-334762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271041</v>
      </c>
      <c r="C2591" s="2" t="s">
        <v>573</v>
      </c>
      <c r="D2591" s="2" t="str">
        <f t="shared" si="39"/>
        <v>Error?</v>
      </c>
    </row>
    <row r="2592" spans="1:4" x14ac:dyDescent="0.2">
      <c r="A2592" s="10">
        <v>2531</v>
      </c>
      <c r="D2592" s="2" t="str">
        <f t="shared" si="39"/>
        <v>OK</v>
      </c>
    </row>
    <row r="2593" spans="1:4" x14ac:dyDescent="0.2">
      <c r="A2593" s="5">
        <v>2532</v>
      </c>
      <c r="B2593" s="138">
        <f>'Acct Summary 7-8'!F6</f>
        <v>343171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614212</v>
      </c>
      <c r="C2595" s="2" t="s">
        <v>573</v>
      </c>
      <c r="D2595" s="2" t="str">
        <f t="shared" si="39"/>
        <v>Error?</v>
      </c>
    </row>
    <row r="2596" spans="1:4" x14ac:dyDescent="0.2">
      <c r="A2596" s="5">
        <v>2535</v>
      </c>
      <c r="B2596" s="138">
        <f>'Acct Summary 7-8'!F13</f>
        <v>765363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765363</v>
      </c>
      <c r="C2600" s="2" t="s">
        <v>573</v>
      </c>
      <c r="D2600" s="2" t="str">
        <f t="shared" si="39"/>
        <v>Error?</v>
      </c>
    </row>
    <row r="2601" spans="1:4" x14ac:dyDescent="0.2">
      <c r="A2601" s="5">
        <v>2540</v>
      </c>
      <c r="B2601" s="138">
        <f>'Acct Summary 7-8'!F20</f>
        <v>-151151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330093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330093</v>
      </c>
      <c r="C2606" s="2" t="s">
        <v>573</v>
      </c>
      <c r="D2606" s="2" t="str">
        <f t="shared" si="39"/>
        <v>Error?</v>
      </c>
    </row>
    <row r="2607" spans="1:4" x14ac:dyDescent="0.2">
      <c r="A2607" s="5">
        <v>2546</v>
      </c>
      <c r="B2607" s="138">
        <f>'Acct Summary 7-8'!G12</f>
        <v>83510</v>
      </c>
      <c r="C2607" s="2" t="s">
        <v>573</v>
      </c>
      <c r="D2607" s="2" t="str">
        <f t="shared" si="39"/>
        <v>Error?</v>
      </c>
    </row>
    <row r="2608" spans="1:4" x14ac:dyDescent="0.2">
      <c r="A2608" s="5">
        <v>2547</v>
      </c>
      <c r="B2608" s="138">
        <f>'Acct Summary 7-8'!G13</f>
        <v>142225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254729</v>
      </c>
      <c r="C2612" s="2" t="s">
        <v>573</v>
      </c>
      <c r="D2612" s="2" t="str">
        <f t="shared" si="39"/>
        <v>Error?</v>
      </c>
    </row>
    <row r="2613" spans="1:4" x14ac:dyDescent="0.2">
      <c r="A2613" s="5">
        <v>2552</v>
      </c>
      <c r="B2613" s="138">
        <f>'Acct Summary 7-8'!G20</f>
        <v>75364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1310158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1310158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1316427</v>
      </c>
      <c r="C2634" s="2" t="s">
        <v>573</v>
      </c>
      <c r="D2634" s="2" t="str">
        <f t="shared" si="40"/>
        <v>Error?</v>
      </c>
    </row>
    <row r="2635" spans="1:4" x14ac:dyDescent="0.2">
      <c r="A2635" s="5">
        <v>2574</v>
      </c>
      <c r="B2635" s="138">
        <f>'Acct Summary 7-8'!E17</f>
        <v>1316427</v>
      </c>
      <c r="C2635" s="2" t="s">
        <v>573</v>
      </c>
      <c r="D2635" s="2" t="str">
        <f t="shared" si="40"/>
        <v>Error?</v>
      </c>
    </row>
    <row r="2636" spans="1:4" x14ac:dyDescent="0.2">
      <c r="A2636" s="5">
        <v>2575</v>
      </c>
      <c r="B2636" s="138">
        <f>'Acct Summary 7-8'!E20</f>
        <v>-6269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91708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91708</v>
      </c>
      <c r="C2658" s="2" t="s">
        <v>573</v>
      </c>
      <c r="D2658" s="2" t="str">
        <f t="shared" si="40"/>
        <v>Error?</v>
      </c>
    </row>
    <row r="2659" spans="1:4" x14ac:dyDescent="0.2">
      <c r="A2659" s="5">
        <v>2598</v>
      </c>
      <c r="B2659" s="138">
        <f>'Acct Summary 7-8'!H13</f>
        <v>3085629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3085629</v>
      </c>
      <c r="C2661" s="2" t="s">
        <v>573</v>
      </c>
      <c r="D2661" s="2" t="str">
        <f t="shared" si="40"/>
        <v>Error?</v>
      </c>
    </row>
    <row r="2662" spans="1:4" x14ac:dyDescent="0.2">
      <c r="A2662" s="5">
        <v>2601</v>
      </c>
      <c r="B2662" s="138">
        <f>'Acct Summary 7-8'!H20</f>
        <v>-2993921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5155</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5155</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3060445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3065437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219663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3065437</v>
      </c>
      <c r="D2912" s="2" t="str">
        <f t="shared" si="44"/>
        <v>Error?</v>
      </c>
    </row>
    <row r="2913" spans="1:4" x14ac:dyDescent="0.2">
      <c r="A2913" s="5">
        <v>2852</v>
      </c>
      <c r="B2913" s="138">
        <f>'Assets-Liab 5-6'!I41</f>
        <v>3065437</v>
      </c>
      <c r="C2913" s="2" t="s">
        <v>573</v>
      </c>
      <c r="D2913" s="2" t="str">
        <f t="shared" si="44"/>
        <v>Error?</v>
      </c>
    </row>
    <row r="2914" spans="1:4" x14ac:dyDescent="0.2">
      <c r="A2914" s="5">
        <v>2853</v>
      </c>
      <c r="B2914" s="138">
        <f>'Assets-Liab 5-6'!L33</f>
        <v>219663</v>
      </c>
      <c r="D2914" s="2" t="str">
        <f t="shared" si="44"/>
        <v>Error?</v>
      </c>
    </row>
    <row r="2915" spans="1:4" x14ac:dyDescent="0.2">
      <c r="A2915" s="10">
        <v>2854</v>
      </c>
      <c r="D2915" s="2" t="str">
        <f t="shared" si="44"/>
        <v>OK</v>
      </c>
    </row>
    <row r="2916" spans="1:4" x14ac:dyDescent="0.2">
      <c r="A2916" s="5">
        <v>2855</v>
      </c>
      <c r="B2916" s="138">
        <f>'Assets-Liab 5-6'!L34</f>
        <v>219663</v>
      </c>
      <c r="C2916" s="2" t="s">
        <v>573</v>
      </c>
      <c r="D2916" s="2" t="str">
        <f t="shared" si="44"/>
        <v>Error?</v>
      </c>
    </row>
    <row r="2917" spans="1:4" x14ac:dyDescent="0.2">
      <c r="A2917" s="5">
        <v>2856</v>
      </c>
      <c r="B2917" s="138">
        <f>'Assets-Liab 5-6'!L41</f>
        <v>219663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85085</v>
      </c>
      <c r="D3055" s="2" t="str">
        <f t="shared" si="46"/>
        <v>Error?</v>
      </c>
    </row>
    <row r="3056" spans="1:4" x14ac:dyDescent="0.2">
      <c r="A3056" s="5">
        <v>2995</v>
      </c>
      <c r="B3056" s="138">
        <f>'Expenditures 15-22'!D10</f>
        <v>14904</v>
      </c>
      <c r="D3056" s="2" t="str">
        <f t="shared" si="46"/>
        <v>Error?</v>
      </c>
    </row>
    <row r="3057" spans="1:4" x14ac:dyDescent="0.2">
      <c r="A3057" s="5">
        <v>2996</v>
      </c>
      <c r="B3057" s="138">
        <f>'Expenditures 15-22'!E10</f>
        <v>3900</v>
      </c>
      <c r="D3057" s="2" t="str">
        <f t="shared" si="46"/>
        <v>Error?</v>
      </c>
    </row>
    <row r="3058" spans="1:4" x14ac:dyDescent="0.2">
      <c r="A3058" s="5">
        <v>2997</v>
      </c>
      <c r="B3058" s="138">
        <f>'Expenditures 15-22'!F10</f>
        <v>747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104636</v>
      </c>
      <c r="C3062" s="2" t="s">
        <v>573</v>
      </c>
      <c r="D3062" s="2" t="str">
        <f t="shared" si="46"/>
        <v>Error?</v>
      </c>
    </row>
    <row r="3063" spans="1:4" x14ac:dyDescent="0.2">
      <c r="A3063" s="10">
        <v>3002</v>
      </c>
      <c r="D3063" s="2" t="str">
        <f t="shared" si="46"/>
        <v>OK</v>
      </c>
    </row>
    <row r="3064" spans="1:4" x14ac:dyDescent="0.2">
      <c r="A3064" s="5">
        <v>3003</v>
      </c>
      <c r="B3064" s="138">
        <f>'Expenditures 15-22'!D219</f>
        <v>4951</v>
      </c>
      <c r="D3064" s="2" t="str">
        <f t="shared" si="46"/>
        <v>Error?</v>
      </c>
    </row>
    <row r="3065" spans="1:4" x14ac:dyDescent="0.2">
      <c r="A3065" s="5">
        <v>3004</v>
      </c>
      <c r="B3065" s="138">
        <f>'Expenditures 15-22'!K219</f>
        <v>4951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93204</v>
      </c>
      <c r="C3225" s="2" t="s">
        <v>573</v>
      </c>
      <c r="D3225" s="2" t="str">
        <f t="shared" si="49"/>
        <v>Error?</v>
      </c>
    </row>
    <row r="3226" spans="1:4" x14ac:dyDescent="0.2">
      <c r="A3226" s="5">
        <v>3165</v>
      </c>
      <c r="B3226" s="138">
        <f>'Acct Summary 7-8'!I8</f>
        <v>93204</v>
      </c>
      <c r="C3226" s="2" t="s">
        <v>573</v>
      </c>
      <c r="D3226" s="2" t="str">
        <f t="shared" si="49"/>
        <v>Error?</v>
      </c>
    </row>
    <row r="3227" spans="1:4" x14ac:dyDescent="0.2">
      <c r="A3227" s="5">
        <v>3166</v>
      </c>
      <c r="B3227" s="138">
        <f>'Acct Summary 7-8'!I20</f>
        <v>93204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5155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5155</v>
      </c>
      <c r="C3232" s="2" t="s">
        <v>573</v>
      </c>
      <c r="D3232" s="2" t="str">
        <f t="shared" si="49"/>
        <v>Error?</v>
      </c>
    </row>
    <row r="3233" spans="1:4" x14ac:dyDescent="0.2">
      <c r="A3233" s="5">
        <v>3172</v>
      </c>
      <c r="B3233" s="138">
        <f>'Acct Summary 7-8'!C78</f>
        <v>50556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-334762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-151151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75364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5155</v>
      </c>
      <c r="C3276" s="2" t="s">
        <v>573</v>
      </c>
      <c r="D3276" s="2" t="str">
        <f t="shared" si="50"/>
        <v>Error?</v>
      </c>
    </row>
    <row r="3277" spans="1:4" x14ac:dyDescent="0.2">
      <c r="A3277" s="5">
        <v>3216</v>
      </c>
      <c r="B3277" s="138">
        <f>'Acct Summary 7-8'!E77</f>
        <v>-5155</v>
      </c>
      <c r="C3277" s="2" t="s">
        <v>573</v>
      </c>
      <c r="D3277" s="2" t="str">
        <f t="shared" si="50"/>
        <v>Error?</v>
      </c>
    </row>
    <row r="3278" spans="1:4" x14ac:dyDescent="0.2">
      <c r="A3278" s="5">
        <v>3217</v>
      </c>
      <c r="B3278" s="138">
        <f>'Acct Summary 7-8'!E78</f>
        <v>-11424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-2993921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93204</v>
      </c>
      <c r="C3320" s="2" t="s">
        <v>573</v>
      </c>
      <c r="D3320" s="2" t="str">
        <f t="shared" si="50"/>
        <v>Error?</v>
      </c>
    </row>
    <row r="3321" spans="1:4" x14ac:dyDescent="0.2">
      <c r="A3321" s="5">
        <v>3260</v>
      </c>
      <c r="B3321" s="138">
        <f>'Acct Summary 7-8'!I79</f>
        <v>2972233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3065437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406943</v>
      </c>
      <c r="D3366" s="2" t="str">
        <f t="shared" si="51"/>
        <v>Error?</v>
      </c>
    </row>
    <row r="3367" spans="1:4" x14ac:dyDescent="0.2">
      <c r="A3367" s="5">
        <v>3306</v>
      </c>
      <c r="B3367" s="138">
        <f>'Expenditures 15-22'!C19</f>
        <v>37865</v>
      </c>
      <c r="D3367" s="2" t="str">
        <f t="shared" si="51"/>
        <v>Error?</v>
      </c>
    </row>
    <row r="3368" spans="1:4" x14ac:dyDescent="0.2">
      <c r="A3368" s="5">
        <v>3307</v>
      </c>
      <c r="B3368" s="138">
        <f>'Expenditures 15-22'!D8</f>
        <v>38790</v>
      </c>
      <c r="D3368" s="2" t="str">
        <f t="shared" si="51"/>
        <v>Error?</v>
      </c>
    </row>
    <row r="3369" spans="1:4" x14ac:dyDescent="0.2">
      <c r="A3369" s="5">
        <v>3308</v>
      </c>
      <c r="B3369" s="138">
        <f>'Expenditures 15-22'!D19</f>
        <v>3860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9650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445733</v>
      </c>
      <c r="C3380" s="2" t="s">
        <v>573</v>
      </c>
      <c r="D3380" s="2" t="str">
        <f t="shared" si="51"/>
        <v>Error?</v>
      </c>
    </row>
    <row r="3381" spans="1:4" x14ac:dyDescent="0.2">
      <c r="A3381" s="5">
        <v>3320</v>
      </c>
      <c r="B3381" s="138">
        <f>'Expenditures 15-22'!K19</f>
        <v>66995</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56763</v>
      </c>
      <c r="D3387" s="2" t="str">
        <f t="shared" si="51"/>
        <v>Error?</v>
      </c>
    </row>
    <row r="3388" spans="1:4" x14ac:dyDescent="0.2">
      <c r="A3388" s="5">
        <v>3327</v>
      </c>
      <c r="B3388" s="138">
        <f>'Expenditures 15-22'!D217</f>
        <v>7760</v>
      </c>
      <c r="D3388" s="2" t="str">
        <f t="shared" si="51"/>
        <v>Error?</v>
      </c>
    </row>
    <row r="3389" spans="1:4" x14ac:dyDescent="0.2">
      <c r="A3389" s="5">
        <v>3328</v>
      </c>
      <c r="B3389" s="138">
        <f>'Expenditures 15-22'!D228</f>
        <v>549</v>
      </c>
      <c r="D3389" s="2" t="str">
        <f t="shared" si="51"/>
        <v>Error?</v>
      </c>
    </row>
    <row r="3390" spans="1:4" x14ac:dyDescent="0.2">
      <c r="A3390" s="5">
        <v>3329</v>
      </c>
      <c r="B3390" s="138">
        <f>'Expenditures 15-22'!K215</f>
        <v>56763</v>
      </c>
      <c r="C3390" s="2" t="s">
        <v>573</v>
      </c>
      <c r="D3390" s="2" t="str">
        <f t="shared" si="51"/>
        <v>Error?</v>
      </c>
    </row>
    <row r="3391" spans="1:4" x14ac:dyDescent="0.2">
      <c r="A3391" s="5">
        <v>3330</v>
      </c>
      <c r="B3391" s="138">
        <f>'Expenditures 15-22'!K217</f>
        <v>7760</v>
      </c>
      <c r="C3391" s="2" t="s">
        <v>573</v>
      </c>
      <c r="D3391" s="2" t="str">
        <f t="shared" ref="D3391:D3454" si="52">IF(ISBLANK(B3391),"OK",IF(A3391-B3391=0,"OK","Error?"))</f>
        <v>Error?</v>
      </c>
    </row>
    <row r="3392" spans="1:4" x14ac:dyDescent="0.2">
      <c r="A3392" s="5">
        <v>3331</v>
      </c>
      <c r="B3392" s="138">
        <f>'Expenditures 15-22'!K228</f>
        <v>549</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317446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321526</v>
      </c>
      <c r="D3417" s="2" t="str">
        <f t="shared" si="52"/>
        <v>Error?</v>
      </c>
    </row>
    <row r="3418" spans="1:4" x14ac:dyDescent="0.2">
      <c r="A3418" s="10">
        <v>3357</v>
      </c>
      <c r="D3418" s="2" t="str">
        <f t="shared" si="52"/>
        <v>OK</v>
      </c>
    </row>
    <row r="3419" spans="1:4" x14ac:dyDescent="0.2">
      <c r="A3419" s="5">
        <v>3358</v>
      </c>
      <c r="B3419" s="138">
        <f>'Assets-Liab 5-6'!F4</f>
        <v>107946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17954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77124</v>
      </c>
      <c r="D3425" s="2" t="str">
        <f t="shared" si="52"/>
        <v>Error?</v>
      </c>
    </row>
    <row r="3426" spans="1:4" x14ac:dyDescent="0.2">
      <c r="A3426" s="10">
        <v>3365</v>
      </c>
      <c r="D3426" s="2" t="str">
        <f t="shared" si="52"/>
        <v>OK</v>
      </c>
    </row>
    <row r="3427" spans="1:4" x14ac:dyDescent="0.2">
      <c r="A3427" s="5">
        <v>3366</v>
      </c>
      <c r="B3427" s="138">
        <f>'Assets-Liab 5-6'!I4</f>
        <v>4992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219663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117535</v>
      </c>
      <c r="C3446" s="2" t="s">
        <v>573</v>
      </c>
      <c r="D3446" s="2" t="str">
        <f t="shared" si="52"/>
        <v>Error?</v>
      </c>
    </row>
    <row r="3447" spans="1:4" x14ac:dyDescent="0.2">
      <c r="A3447" s="5">
        <v>3386</v>
      </c>
      <c r="B3447" s="138">
        <f>'Tax Sched 23'!D16</f>
        <v>117535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175008</v>
      </c>
      <c r="C3449" s="2" t="s">
        <v>573</v>
      </c>
      <c r="D3449" s="2" t="str">
        <f t="shared" si="52"/>
        <v>Error?</v>
      </c>
    </row>
    <row r="3450" spans="1:4" x14ac:dyDescent="0.2">
      <c r="A3450" s="5">
        <v>3389</v>
      </c>
      <c r="B3450" s="138">
        <f>'Tax Sched 23'!E16</f>
        <v>175008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75570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75574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75574</v>
      </c>
      <c r="D3567" s="2" t="str">
        <f t="shared" si="54"/>
        <v>Error?</v>
      </c>
    </row>
    <row r="3568" spans="1:4" x14ac:dyDescent="0.2">
      <c r="A3568" s="5">
        <v>3507</v>
      </c>
      <c r="B3568" s="138">
        <f>'Assets-Liab 5-6'!K41</f>
        <v>75574</v>
      </c>
      <c r="C3568" s="2" t="s">
        <v>573</v>
      </c>
      <c r="D3568" s="2" t="str">
        <f t="shared" si="54"/>
        <v>Error?</v>
      </c>
    </row>
    <row r="3569" spans="1:4" x14ac:dyDescent="0.2">
      <c r="A3569" s="5">
        <v>3508</v>
      </c>
      <c r="B3569" s="138">
        <f>'Acct Summary 7-8'!K4</f>
        <v>66353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66353</v>
      </c>
      <c r="C3571" s="2" t="s">
        <v>573</v>
      </c>
      <c r="D3571" s="2" t="str">
        <f t="shared" si="54"/>
        <v>Error?</v>
      </c>
    </row>
    <row r="3572" spans="1:4" x14ac:dyDescent="0.2">
      <c r="A3572" s="5">
        <v>3511</v>
      </c>
      <c r="B3572" s="138">
        <f>'Acct Summary 7-8'!K13</f>
        <v>121401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121401</v>
      </c>
      <c r="C3575" s="2" t="s">
        <v>573</v>
      </c>
      <c r="D3575" s="2" t="str">
        <f t="shared" si="54"/>
        <v>Error?</v>
      </c>
    </row>
    <row r="3576" spans="1:4" x14ac:dyDescent="0.2">
      <c r="A3576" s="5">
        <v>3515</v>
      </c>
      <c r="B3576" s="138">
        <f>'Acct Summary 7-8'!K20</f>
        <v>-55048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-55048</v>
      </c>
      <c r="C3588" s="2" t="s">
        <v>573</v>
      </c>
      <c r="D3588" s="2" t="str">
        <f t="shared" si="55"/>
        <v>Error?</v>
      </c>
    </row>
    <row r="3589" spans="1:4" x14ac:dyDescent="0.2">
      <c r="A3589" s="5">
        <v>3528</v>
      </c>
      <c r="B3589" s="138">
        <f>'Acct Summary 7-8'!K79</f>
        <v>130622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75574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121401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121401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121401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121401</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121401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121401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121401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-55048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28994</v>
      </c>
      <c r="D3721" s="2" t="str">
        <f t="shared" si="57"/>
        <v>Error?</v>
      </c>
    </row>
    <row r="3722" spans="1:4" x14ac:dyDescent="0.2">
      <c r="A3722" s="5">
        <v>3661</v>
      </c>
      <c r="B3722" s="138">
        <f>'Expenditures 15-22'!D285</f>
        <v>28994</v>
      </c>
      <c r="C3722" s="2" t="s">
        <v>573</v>
      </c>
      <c r="D3722" s="2" t="str">
        <f t="shared" si="57"/>
        <v>Error?</v>
      </c>
    </row>
    <row r="3723" spans="1:4" x14ac:dyDescent="0.2">
      <c r="A3723" s="5">
        <v>3662</v>
      </c>
      <c r="B3723" s="138">
        <f>'Expenditures 15-22'!K283</f>
        <v>28994</v>
      </c>
      <c r="C3723" s="2" t="s">
        <v>573</v>
      </c>
      <c r="D3723" s="2" t="str">
        <f t="shared" si="57"/>
        <v>Error?</v>
      </c>
    </row>
    <row r="3724" spans="1:4" x14ac:dyDescent="0.2">
      <c r="A3724" s="5">
        <v>3663</v>
      </c>
      <c r="B3724" s="138">
        <f>'Expenditures 15-22'!K285</f>
        <v>28994</v>
      </c>
      <c r="C3724" s="2" t="s">
        <v>573</v>
      </c>
      <c r="D3724" s="2" t="str">
        <f t="shared" si="57"/>
        <v>Error?</v>
      </c>
    </row>
    <row r="3725" spans="1:4" x14ac:dyDescent="0.2">
      <c r="A3725" s="5">
        <v>3664</v>
      </c>
      <c r="B3725" s="138">
        <f>'Tax Sched 23'!B13</f>
        <v>65683</v>
      </c>
      <c r="C3725" s="2" t="s">
        <v>573</v>
      </c>
      <c r="D3725" s="2" t="str">
        <f t="shared" si="57"/>
        <v>Error?</v>
      </c>
    </row>
    <row r="3726" spans="1:4" x14ac:dyDescent="0.2">
      <c r="A3726" s="5">
        <v>3665</v>
      </c>
      <c r="B3726" s="138">
        <f>'Tax Sched 23'!D13</f>
        <v>65683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66639</v>
      </c>
      <c r="C3728" s="2" t="s">
        <v>573</v>
      </c>
      <c r="D3728" s="2" t="str">
        <f t="shared" si="57"/>
        <v>Error?</v>
      </c>
    </row>
    <row r="3729" spans="1:4" x14ac:dyDescent="0.2">
      <c r="A3729" s="5">
        <v>3668</v>
      </c>
      <c r="B3729" s="138">
        <f>'Tax Sched 23'!E13</f>
        <v>66639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2873186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9584015</v>
      </c>
      <c r="C4122" s="2" t="s">
        <v>573</v>
      </c>
      <c r="D4122" s="2" t="str">
        <f t="shared" si="63"/>
        <v>Error?</v>
      </c>
    </row>
    <row r="4123" spans="1:4" x14ac:dyDescent="0.2">
      <c r="A4123" s="5">
        <v>4062</v>
      </c>
      <c r="B4123" s="138">
        <f>'Acct Summary 7-8'!D10</f>
        <v>812300</v>
      </c>
      <c r="C4123" s="2" t="s">
        <v>573</v>
      </c>
      <c r="D4123" s="2" t="str">
        <f t="shared" si="63"/>
        <v>Error?</v>
      </c>
    </row>
    <row r="4124" spans="1:4" x14ac:dyDescent="0.2">
      <c r="A4124" s="5">
        <v>4063</v>
      </c>
      <c r="B4124" s="138">
        <f>'Acct Summary 7-8'!E10</f>
        <v>1310158</v>
      </c>
      <c r="C4124" s="2" t="s">
        <v>573</v>
      </c>
      <c r="D4124" s="2" t="str">
        <f t="shared" si="63"/>
        <v>Error?</v>
      </c>
    </row>
    <row r="4125" spans="1:4" x14ac:dyDescent="0.2">
      <c r="A4125" s="5">
        <v>4064</v>
      </c>
      <c r="B4125" s="138">
        <f>'Acct Summary 7-8'!F10</f>
        <v>614212</v>
      </c>
      <c r="C4125" s="2" t="s">
        <v>573</v>
      </c>
      <c r="D4125" s="2" t="str">
        <f t="shared" si="63"/>
        <v>Error?</v>
      </c>
    </row>
    <row r="4126" spans="1:4" x14ac:dyDescent="0.2">
      <c r="A4126" s="5">
        <v>4065</v>
      </c>
      <c r="B4126" s="138">
        <f>'Acct Summary 7-8'!G10</f>
        <v>330093</v>
      </c>
      <c r="C4126" s="2" t="s">
        <v>573</v>
      </c>
      <c r="D4126" s="2" t="str">
        <f t="shared" si="63"/>
        <v>Error?</v>
      </c>
    </row>
    <row r="4127" spans="1:4" x14ac:dyDescent="0.2">
      <c r="A4127" s="5">
        <v>4066</v>
      </c>
      <c r="B4127" s="138">
        <f>'Acct Summary 7-8'!H10</f>
        <v>91708</v>
      </c>
      <c r="C4127" s="2" t="s">
        <v>573</v>
      </c>
      <c r="D4127" s="2" t="str">
        <f t="shared" si="63"/>
        <v>Error?</v>
      </c>
    </row>
    <row r="4128" spans="1:4" x14ac:dyDescent="0.2">
      <c r="A4128" s="5">
        <v>4067</v>
      </c>
      <c r="B4128" s="138">
        <f>'Acct Summary 7-8'!I10</f>
        <v>93204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66353</v>
      </c>
      <c r="C4130" s="2" t="s">
        <v>573</v>
      </c>
      <c r="D4130" s="2" t="str">
        <f t="shared" si="63"/>
        <v>Error?</v>
      </c>
    </row>
    <row r="4131" spans="1:4" x14ac:dyDescent="0.2">
      <c r="A4131" s="5">
        <v>4070</v>
      </c>
      <c r="B4131" s="138">
        <f>'Acct Summary 7-8'!C18</f>
        <v>2873186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9538614</v>
      </c>
      <c r="C4136" s="2" t="s">
        <v>573</v>
      </c>
      <c r="D4136" s="2" t="str">
        <f t="shared" si="63"/>
        <v>Error?</v>
      </c>
    </row>
    <row r="4137" spans="1:4" x14ac:dyDescent="0.2">
      <c r="A4137" s="5">
        <v>4076</v>
      </c>
      <c r="B4137" s="138">
        <f>'Acct Summary 7-8'!D19</f>
        <v>1147062</v>
      </c>
      <c r="C4137" s="2" t="s">
        <v>573</v>
      </c>
      <c r="D4137" s="2" t="str">
        <f t="shared" si="63"/>
        <v>Error?</v>
      </c>
    </row>
    <row r="4138" spans="1:4" x14ac:dyDescent="0.2">
      <c r="A4138" s="5">
        <v>4077</v>
      </c>
      <c r="B4138" s="138">
        <f>'Acct Summary 7-8'!E19</f>
        <v>1316427</v>
      </c>
      <c r="C4138" s="2" t="s">
        <v>573</v>
      </c>
      <c r="D4138" s="2" t="str">
        <f t="shared" si="63"/>
        <v>Error?</v>
      </c>
    </row>
    <row r="4139" spans="1:4" x14ac:dyDescent="0.2">
      <c r="A4139" s="5">
        <v>4078</v>
      </c>
      <c r="B4139" s="138">
        <f>'Acct Summary 7-8'!F19</f>
        <v>765363</v>
      </c>
      <c r="C4139" s="2" t="s">
        <v>573</v>
      </c>
      <c r="D4139" s="2" t="str">
        <f t="shared" si="63"/>
        <v>Error?</v>
      </c>
    </row>
    <row r="4140" spans="1:4" x14ac:dyDescent="0.2">
      <c r="A4140" s="5">
        <v>4079</v>
      </c>
      <c r="B4140" s="138">
        <f>'Acct Summary 7-8'!G19</f>
        <v>254729</v>
      </c>
      <c r="C4140" s="2" t="s">
        <v>573</v>
      </c>
      <c r="D4140" s="2" t="str">
        <f t="shared" si="63"/>
        <v>Error?</v>
      </c>
    </row>
    <row r="4141" spans="1:4" x14ac:dyDescent="0.2">
      <c r="A4141" s="5">
        <v>4080</v>
      </c>
      <c r="B4141" s="138">
        <f>'Acct Summary 7-8'!H19</f>
        <v>3085629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121401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11040000</v>
      </c>
      <c r="C4171" s="2" t="s">
        <v>573</v>
      </c>
      <c r="D4171" s="2" t="str">
        <f t="shared" si="64"/>
        <v>Error?</v>
      </c>
    </row>
    <row r="4172" spans="1:4" x14ac:dyDescent="0.2">
      <c r="A4172" s="5">
        <v>4111</v>
      </c>
      <c r="B4172" s="138">
        <f>'Short-Term Long-Term Debt 24'!J49</f>
        <v>10425984</v>
      </c>
      <c r="C4172" s="2" t="s">
        <v>573</v>
      </c>
      <c r="D4172" s="2" t="str">
        <f t="shared" si="64"/>
        <v>Error?</v>
      </c>
    </row>
    <row r="4173" spans="1:4" x14ac:dyDescent="0.2">
      <c r="A4173" s="5">
        <v>4112</v>
      </c>
      <c r="B4173" s="138">
        <f>'Short-Term Long-Term Debt 24'!H49</f>
        <v>785000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2460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3160.0000000000005</v>
      </c>
      <c r="C4268" s="2" t="s">
        <v>573</v>
      </c>
      <c r="D4268" s="2" t="str">
        <f t="shared" si="65"/>
        <v>Error?</v>
      </c>
    </row>
    <row r="4269" spans="1:5" x14ac:dyDescent="0.2">
      <c r="A4269" s="12">
        <v>4208</v>
      </c>
      <c r="B4269" s="138">
        <f>'FP Info 3'!J16</f>
        <v>5663405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6364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18762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133278355</v>
      </c>
      <c r="D4995" s="2" t="str">
        <f t="shared" si="77"/>
        <v>Error?</v>
      </c>
    </row>
    <row r="4996" spans="1:4" x14ac:dyDescent="0.2">
      <c r="A4996" s="12">
        <v>4935</v>
      </c>
      <c r="B4996" s="138">
        <f>'FP Info 3'!H31</f>
        <v>18392412.990000002</v>
      </c>
      <c r="D4996" s="2" t="str">
        <f t="shared" si="77"/>
        <v>Error?</v>
      </c>
    </row>
    <row r="4997" spans="1:4" x14ac:dyDescent="0.2">
      <c r="A4997" s="12">
        <v>4936</v>
      </c>
      <c r="B4997" s="138">
        <f>'FP Info 3'!H37</f>
        <v>11040000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65683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3231633</v>
      </c>
      <c r="D5061" s="2" t="str">
        <f t="shared" si="78"/>
        <v>Error?</v>
      </c>
    </row>
    <row r="5062" spans="1:4" x14ac:dyDescent="0.2">
      <c r="A5062" s="10">
        <v>5001</v>
      </c>
      <c r="D5062" s="2" t="str">
        <f t="shared" si="78"/>
        <v>OK</v>
      </c>
    </row>
    <row r="5063" spans="1:4" x14ac:dyDescent="0.2">
      <c r="A5063" s="5">
        <v>5002</v>
      </c>
      <c r="B5063" s="138">
        <f>'Revenues 9-14'!C7</f>
        <v>52547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3349863</v>
      </c>
      <c r="C5066" s="2" t="s">
        <v>573</v>
      </c>
      <c r="D5066" s="2" t="str">
        <f t="shared" si="78"/>
        <v>Error?</v>
      </c>
    </row>
    <row r="5067" spans="1:4" x14ac:dyDescent="0.2">
      <c r="A5067" s="5">
        <v>5006</v>
      </c>
      <c r="B5067" s="138">
        <f>'Revenues 9-14'!C14</f>
        <v>6639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6639</v>
      </c>
      <c r="C5071" s="2" t="s">
        <v>573</v>
      </c>
      <c r="D5071" s="2" t="str">
        <f t="shared" si="78"/>
        <v>Error?</v>
      </c>
    </row>
    <row r="5072" spans="1:4" x14ac:dyDescent="0.2">
      <c r="A5072" s="5">
        <v>5011</v>
      </c>
      <c r="B5072" s="138">
        <f>'Revenues 9-14'!C20</f>
        <v>3900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3900</v>
      </c>
      <c r="C5087" s="2" t="s">
        <v>573</v>
      </c>
      <c r="D5087" s="2" t="str">
        <f t="shared" si="78"/>
        <v>Error?</v>
      </c>
    </row>
    <row r="5088" spans="1:4" x14ac:dyDescent="0.2">
      <c r="A5088" s="5">
        <v>5027</v>
      </c>
      <c r="B5088" s="138">
        <f>'Revenues 9-14'!C65</f>
        <v>17540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17540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7791</v>
      </c>
      <c r="D5095" s="2" t="str">
        <f t="shared" si="78"/>
        <v>Error?</v>
      </c>
    </row>
    <row r="5096" spans="1:4" x14ac:dyDescent="0.2">
      <c r="A5096" s="5">
        <v>5035</v>
      </c>
      <c r="B5096" s="138">
        <f>'Revenues 9-14'!C75</f>
        <v>97489</v>
      </c>
      <c r="C5096" s="2" t="s">
        <v>573</v>
      </c>
      <c r="D5096" s="2" t="str">
        <f t="shared" si="78"/>
        <v>Error?</v>
      </c>
    </row>
    <row r="5097" spans="1:4" x14ac:dyDescent="0.2">
      <c r="A5097" s="5">
        <v>5036</v>
      </c>
      <c r="B5097" s="138">
        <f>'Revenues 9-14'!C77</f>
        <v>29042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93781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1619</v>
      </c>
      <c r="D5101" s="2" t="str">
        <f t="shared" si="78"/>
        <v>Error?</v>
      </c>
    </row>
    <row r="5102" spans="1:4" x14ac:dyDescent="0.2">
      <c r="A5102" s="5">
        <v>5041</v>
      </c>
      <c r="B5102" s="138">
        <f>'Revenues 9-14'!C82</f>
        <v>124442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63202</v>
      </c>
      <c r="D5119" s="2" t="str">
        <f t="shared" ref="D5119:D5182" si="79">IF(ISBLANK(B5119),"OK",IF(A5119-B5119=0,"OK","Error?"))</f>
        <v>Error?</v>
      </c>
    </row>
    <row r="5120" spans="1:4" x14ac:dyDescent="0.2">
      <c r="A5120" s="5">
        <v>5059</v>
      </c>
      <c r="B5120" s="138">
        <f>'Revenues 9-14'!C108</f>
        <v>72215</v>
      </c>
      <c r="C5120" s="2" t="s">
        <v>573</v>
      </c>
      <c r="D5120" s="2" t="str">
        <f t="shared" si="79"/>
        <v>Error?</v>
      </c>
    </row>
    <row r="5121" spans="1:4" x14ac:dyDescent="0.2">
      <c r="A5121" s="5">
        <v>5060</v>
      </c>
      <c r="B5121" s="138">
        <f>'Revenues 9-14'!C109</f>
        <v>3672088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2241442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2241442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5341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5341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4024</v>
      </c>
      <c r="D5167" s="2" t="str">
        <f t="shared" si="79"/>
        <v>Error?</v>
      </c>
    </row>
    <row r="5168" spans="1:4" x14ac:dyDescent="0.2">
      <c r="A5168" s="5">
        <v>5107</v>
      </c>
      <c r="B5168" s="138">
        <f>'Revenues 9-14'!C148</f>
        <v>12369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245622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268856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2510298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168271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56095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224366</v>
      </c>
      <c r="C5246" s="2" t="s">
        <v>573</v>
      </c>
      <c r="D5246" s="2" t="str">
        <f t="shared" si="80"/>
        <v>Error?</v>
      </c>
    </row>
    <row r="5247" spans="1:4" x14ac:dyDescent="0.2">
      <c r="A5247" s="5">
        <v>5186</v>
      </c>
      <c r="B5247" s="138">
        <f>'Revenues 9-14'!C200</f>
        <v>61574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61574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217377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217377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528443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528443</v>
      </c>
      <c r="C5326" s="2" t="s">
        <v>573</v>
      </c>
      <c r="D5326" s="2" t="str">
        <f t="shared" si="82"/>
        <v>Error?</v>
      </c>
    </row>
    <row r="5327" spans="1:5" x14ac:dyDescent="0.2">
      <c r="A5327" s="5">
        <v>5266</v>
      </c>
      <c r="B5327" s="138">
        <f>'Revenues 9-14'!C268</f>
        <v>6710829</v>
      </c>
      <c r="C5327" s="2" t="s">
        <v>573</v>
      </c>
      <c r="D5327" s="2" t="str">
        <f t="shared" si="82"/>
        <v>Error?</v>
      </c>
    </row>
    <row r="5328" spans="1:5" x14ac:dyDescent="0.2">
      <c r="A5328" s="5">
        <v>5267</v>
      </c>
      <c r="B5328" s="138">
        <f>'Revenues 9-14'!D5</f>
        <v>656836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656836</v>
      </c>
      <c r="C5334" s="2" t="s">
        <v>573</v>
      </c>
      <c r="D5334" s="2" t="str">
        <f t="shared" si="82"/>
        <v>Error?</v>
      </c>
    </row>
    <row r="5335" spans="1:4" x14ac:dyDescent="0.2">
      <c r="A5335" s="5">
        <v>5274</v>
      </c>
      <c r="B5335" s="138">
        <f>'Revenues 9-14'!D14</f>
        <v>1302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124356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125658</v>
      </c>
      <c r="C5339" s="2" t="s">
        <v>573</v>
      </c>
      <c r="D5339" s="2" t="str">
        <f t="shared" si="82"/>
        <v>Error?</v>
      </c>
    </row>
    <row r="5340" spans="1:4" x14ac:dyDescent="0.2">
      <c r="A5340" s="5">
        <v>5279</v>
      </c>
      <c r="B5340" s="138">
        <f>'Revenues 9-14'!D65</f>
        <v>9892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9892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19914</v>
      </c>
      <c r="D5354" s="2" t="str">
        <f t="shared" si="82"/>
        <v>Error?</v>
      </c>
    </row>
    <row r="5355" spans="1:4" x14ac:dyDescent="0.2">
      <c r="A5355" s="5">
        <v>5294</v>
      </c>
      <c r="B5355" s="138">
        <f>'Revenues 9-14'!D108</f>
        <v>19914</v>
      </c>
      <c r="C5355" s="2" t="s">
        <v>573</v>
      </c>
      <c r="D5355" s="2" t="str">
        <f t="shared" si="82"/>
        <v>Error?</v>
      </c>
    </row>
    <row r="5356" spans="1:4" x14ac:dyDescent="0.2">
      <c r="A5356" s="5">
        <v>5295</v>
      </c>
      <c r="B5356" s="138">
        <f>'Revenues 9-14'!D109</f>
        <v>812300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812300</v>
      </c>
      <c r="C5508" s="2" t="s">
        <v>573</v>
      </c>
      <c r="D5508" s="2" t="str">
        <f t="shared" si="85"/>
        <v>Error?</v>
      </c>
    </row>
    <row r="5509" spans="1:4" x14ac:dyDescent="0.2">
      <c r="A5509" s="5">
        <v>5448</v>
      </c>
      <c r="B5509" s="138">
        <f>'Revenues 9-14'!E5</f>
        <v>778540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778540</v>
      </c>
      <c r="C5513" s="2" t="s">
        <v>573</v>
      </c>
      <c r="D5513" s="2" t="str">
        <f t="shared" si="85"/>
        <v>Error?</v>
      </c>
    </row>
    <row r="5514" spans="1:4" x14ac:dyDescent="0.2">
      <c r="A5514" s="5">
        <v>5453</v>
      </c>
      <c r="B5514" s="138">
        <f>'Revenues 9-14'!E14</f>
        <v>1543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1543</v>
      </c>
      <c r="C5518" s="2" t="s">
        <v>573</v>
      </c>
      <c r="D5518" s="2" t="str">
        <f t="shared" si="85"/>
        <v>Error?</v>
      </c>
    </row>
    <row r="5519" spans="1:4" x14ac:dyDescent="0.2">
      <c r="A5519" s="5">
        <v>5458</v>
      </c>
      <c r="B5519" s="138">
        <f>'Revenues 9-14'!E65</f>
        <v>5155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5155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524920</v>
      </c>
      <c r="C5526" s="2" t="s">
        <v>573</v>
      </c>
      <c r="D5526" s="2" t="str">
        <f t="shared" si="85"/>
        <v>Error?</v>
      </c>
    </row>
    <row r="5527" spans="1:4" x14ac:dyDescent="0.2">
      <c r="A5527" s="5">
        <v>5466</v>
      </c>
      <c r="B5527" s="138">
        <f>'Revenues 9-14'!E109</f>
        <v>1310158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1310158</v>
      </c>
      <c r="C5552" s="2" t="s">
        <v>573</v>
      </c>
      <c r="D5552" s="2" t="str">
        <f t="shared" si="85"/>
        <v>Error?</v>
      </c>
    </row>
    <row r="5553" spans="1:4" x14ac:dyDescent="0.2">
      <c r="A5553" s="5">
        <v>5492</v>
      </c>
      <c r="B5553" s="138">
        <f>'Revenues 9-14'!F5</f>
        <v>262735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262735</v>
      </c>
      <c r="C5557" s="2" t="s">
        <v>573</v>
      </c>
      <c r="D5557" s="2" t="str">
        <f t="shared" si="85"/>
        <v>Error?</v>
      </c>
    </row>
    <row r="5558" spans="1:4" x14ac:dyDescent="0.2">
      <c r="A5558" s="5">
        <v>5497</v>
      </c>
      <c r="B5558" s="138">
        <f>'Revenues 9-14'!F14</f>
        <v>521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521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3462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3462</v>
      </c>
      <c r="C5579" s="2" t="s">
        <v>573</v>
      </c>
      <c r="D5579" s="2" t="str">
        <f t="shared" si="86"/>
        <v>Error?</v>
      </c>
    </row>
    <row r="5580" spans="1:4" x14ac:dyDescent="0.2">
      <c r="A5580" s="5">
        <v>5519</v>
      </c>
      <c r="B5580" s="138">
        <f>'Revenues 9-14'!F65</f>
        <v>4323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4323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271041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260454</v>
      </c>
      <c r="D5615" s="2" t="str">
        <f t="shared" si="86"/>
        <v>Error?</v>
      </c>
    </row>
    <row r="5616" spans="1:4" x14ac:dyDescent="0.2">
      <c r="A5616" s="10">
        <v>5555</v>
      </c>
      <c r="D5616" s="2" t="str">
        <f t="shared" si="86"/>
        <v>OK</v>
      </c>
    </row>
    <row r="5617" spans="1:5" x14ac:dyDescent="0.2">
      <c r="A5617" s="5">
        <v>5556</v>
      </c>
      <c r="B5617" s="138">
        <f>'Revenues 9-14'!F153</f>
        <v>82717</v>
      </c>
      <c r="D5617" s="2" t="str">
        <f t="shared" si="86"/>
        <v>Error?</v>
      </c>
    </row>
    <row r="5618" spans="1:5" x14ac:dyDescent="0.2">
      <c r="A5618" s="5">
        <v>5557</v>
      </c>
      <c r="B5618" s="138">
        <f>'Revenues 9-14'!F155</f>
        <v>343171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343171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343171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614212</v>
      </c>
      <c r="C5720" s="2" t="s">
        <v>573</v>
      </c>
      <c r="D5720" s="2" t="str">
        <f t="shared" si="88"/>
        <v>Error?</v>
      </c>
    </row>
    <row r="5721" spans="1:4" x14ac:dyDescent="0.2">
      <c r="A5721" s="5">
        <v>5660</v>
      </c>
      <c r="B5721" s="138">
        <f>'Revenues 9-14'!G5</f>
        <v>194213</v>
      </c>
      <c r="D5721" s="2" t="str">
        <f t="shared" si="88"/>
        <v>Error?</v>
      </c>
    </row>
    <row r="5722" spans="1:4" x14ac:dyDescent="0.2">
      <c r="A5722" s="5">
        <v>5661</v>
      </c>
      <c r="B5722" s="138">
        <f>'Revenues 9-14'!G7</f>
        <v>0</v>
      </c>
      <c r="D5722" s="2" t="str">
        <f t="shared" si="88"/>
        <v>Error?</v>
      </c>
    </row>
    <row r="5723" spans="1:4" x14ac:dyDescent="0.2">
      <c r="A5723" s="5">
        <v>5662</v>
      </c>
      <c r="B5723" s="138">
        <f>'Revenues 9-14'!G8</f>
        <v>117535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311748</v>
      </c>
      <c r="C5725" s="2" t="s">
        <v>573</v>
      </c>
      <c r="D5725" s="2" t="str">
        <f t="shared" si="88"/>
        <v>Error?</v>
      </c>
    </row>
    <row r="5726" spans="1:4" x14ac:dyDescent="0.2">
      <c r="A5726" s="5">
        <v>5665</v>
      </c>
      <c r="B5726" s="138">
        <f>'Revenues 9-14'!G14</f>
        <v>618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14970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15588</v>
      </c>
      <c r="C5730" s="2" t="s">
        <v>573</v>
      </c>
      <c r="D5730" s="2" t="str">
        <f t="shared" si="88"/>
        <v>Error?</v>
      </c>
    </row>
    <row r="5731" spans="1:4" x14ac:dyDescent="0.2">
      <c r="A5731" s="5">
        <v>5670</v>
      </c>
      <c r="B5731" s="138">
        <f>'Revenues 9-14'!G65</f>
        <v>2757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2757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330093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14617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14617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77091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91708</v>
      </c>
      <c r="C5915" s="2" t="s">
        <v>573</v>
      </c>
      <c r="D5915" s="2" t="str">
        <f t="shared" si="91"/>
        <v>Error?</v>
      </c>
    </row>
    <row r="5916" spans="1:4" x14ac:dyDescent="0.2">
      <c r="A5916" s="5">
        <v>5855</v>
      </c>
      <c r="B5916" s="138">
        <f>'Revenues 9-14'!I5</f>
        <v>65684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65684</v>
      </c>
      <c r="C5918" s="2" t="s">
        <v>573</v>
      </c>
      <c r="D5918" s="2" t="str">
        <f t="shared" si="91"/>
        <v>Error?</v>
      </c>
    </row>
    <row r="5919" spans="1:4" x14ac:dyDescent="0.2">
      <c r="A5919" s="5">
        <v>5858</v>
      </c>
      <c r="B5919" s="138">
        <f>'Revenues 9-14'!I14</f>
        <v>130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130</v>
      </c>
      <c r="C5923" s="2" t="s">
        <v>573</v>
      </c>
      <c r="D5923" s="2" t="str">
        <f t="shared" si="91"/>
        <v>Error?</v>
      </c>
    </row>
    <row r="5924" spans="1:4" x14ac:dyDescent="0.2">
      <c r="A5924" s="5">
        <v>5863</v>
      </c>
      <c r="B5924" s="138">
        <f>'Revenues 9-14'!I65</f>
        <v>27390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27390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93204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65684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65684</v>
      </c>
      <c r="C5987" s="2" t="s">
        <v>573</v>
      </c>
      <c r="D5987" s="2" t="str">
        <f t="shared" si="92"/>
        <v>Error?</v>
      </c>
    </row>
    <row r="5988" spans="1:4" x14ac:dyDescent="0.2">
      <c r="A5988" s="5">
        <v>5927</v>
      </c>
      <c r="B5988" s="138">
        <f>'Revenues 9-14'!K14</f>
        <v>130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130</v>
      </c>
      <c r="C5992" s="2" t="s">
        <v>573</v>
      </c>
      <c r="D5992" s="2" t="str">
        <f t="shared" si="92"/>
        <v>Error?</v>
      </c>
    </row>
    <row r="5993" spans="1:4" x14ac:dyDescent="0.2">
      <c r="A5993" s="5">
        <v>5932</v>
      </c>
      <c r="B5993" s="138">
        <f>'Revenues 9-14'!K65</f>
        <v>539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539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66353</v>
      </c>
      <c r="C6023" s="2" t="s">
        <v>573</v>
      </c>
      <c r="D6023" s="2" t="str">
        <f t="shared" si="93"/>
        <v>Error?</v>
      </c>
    </row>
    <row r="6024" spans="1:5" x14ac:dyDescent="0.2">
      <c r="A6024" s="5">
        <v>5963</v>
      </c>
      <c r="B6024" s="138">
        <f>'Revenues 9-14'!G109</f>
        <v>330093</v>
      </c>
      <c r="C6024" s="2" t="s">
        <v>573</v>
      </c>
      <c r="D6024" s="2" t="str">
        <f t="shared" si="93"/>
        <v>Error?</v>
      </c>
    </row>
    <row r="6025" spans="1:5" x14ac:dyDescent="0.2">
      <c r="A6025" s="5">
        <v>5964</v>
      </c>
      <c r="B6025" s="138">
        <f>'Revenues 9-14'!H109</f>
        <v>91708</v>
      </c>
      <c r="C6025" s="2" t="s">
        <v>573</v>
      </c>
      <c r="D6025" s="2" t="str">
        <f t="shared" si="93"/>
        <v>Error?</v>
      </c>
    </row>
    <row r="6026" spans="1:5" x14ac:dyDescent="0.2">
      <c r="A6026" s="5">
        <v>5965</v>
      </c>
      <c r="B6026" s="138">
        <f>'Revenues 9-14'!I109</f>
        <v>93204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66353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89698</v>
      </c>
      <c r="D6031" s="2" t="str">
        <f t="shared" si="93"/>
        <v>Error?</v>
      </c>
    </row>
    <row r="6032" spans="1:5" x14ac:dyDescent="0.2">
      <c r="A6032" s="5">
        <v>5971</v>
      </c>
      <c r="B6032" s="138">
        <f>'Acct Summary 7-8'!G15</f>
        <v>28994</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29764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829.4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23893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202770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23893</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8471</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5071</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28964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173806</v>
      </c>
      <c r="D6215" s="2" t="str">
        <f t="shared" si="96"/>
        <v>Error?</v>
      </c>
      <c r="E6215" s="2" t="s">
        <v>190</v>
      </c>
    </row>
    <row r="6216" spans="1:5" x14ac:dyDescent="0.2">
      <c r="A6216">
        <v>6155</v>
      </c>
      <c r="B6216" s="138">
        <f>'Assets-Liab 5-6'!J41</f>
        <v>202770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202770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286393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286393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286393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258921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258921</v>
      </c>
      <c r="D6229" s="2" t="str">
        <f t="shared" si="96"/>
        <v>Error?</v>
      </c>
      <c r="E6229" s="2" t="s">
        <v>190</v>
      </c>
    </row>
    <row r="6230" spans="1:5" x14ac:dyDescent="0.2">
      <c r="A6230">
        <v>6169</v>
      </c>
      <c r="B6230" s="138">
        <f>'Acct Summary 7-8'!J20</f>
        <v>27472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27472</v>
      </c>
      <c r="D6263" s="2" t="str">
        <f t="shared" si="96"/>
        <v>Error?</v>
      </c>
      <c r="E6263" s="2" t="s">
        <v>190</v>
      </c>
    </row>
    <row r="6264" spans="1:5" x14ac:dyDescent="0.2">
      <c r="A6264">
        <v>6203</v>
      </c>
      <c r="B6264" s="138">
        <f>'Acct Summary 7-8'!J79</f>
        <v>146334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173806</v>
      </c>
      <c r="D6266" s="2" t="str">
        <f t="shared" si="96"/>
        <v>Error?</v>
      </c>
      <c r="E6266" s="2" t="s">
        <v>190</v>
      </c>
    </row>
    <row r="6267" spans="1:5" x14ac:dyDescent="0.2">
      <c r="A6267">
        <v>6206</v>
      </c>
      <c r="B6267" s="138">
        <f>'Acct Summary 7-8'!C82</f>
        <v>50556</v>
      </c>
      <c r="D6267" s="2" t="str">
        <f t="shared" si="96"/>
        <v>Error?</v>
      </c>
      <c r="E6267" s="2" t="s">
        <v>190</v>
      </c>
    </row>
    <row r="6268" spans="1:5" x14ac:dyDescent="0.2">
      <c r="A6268">
        <v>6207</v>
      </c>
      <c r="B6268" s="138">
        <f>'Acct Summary 7-8'!D82</f>
        <v>-334762</v>
      </c>
      <c r="D6268" s="2" t="str">
        <f t="shared" si="96"/>
        <v>Error?</v>
      </c>
      <c r="E6268" s="2" t="s">
        <v>190</v>
      </c>
    </row>
    <row r="6269" spans="1:5" x14ac:dyDescent="0.2">
      <c r="A6269">
        <v>6208</v>
      </c>
      <c r="B6269" s="138">
        <f>'Acct Summary 7-8'!E82</f>
        <v>-11424</v>
      </c>
      <c r="D6269" s="2" t="str">
        <f t="shared" si="96"/>
        <v>Error?</v>
      </c>
      <c r="E6269" s="2" t="s">
        <v>190</v>
      </c>
    </row>
    <row r="6270" spans="1:5" x14ac:dyDescent="0.2">
      <c r="A6270">
        <v>6209</v>
      </c>
      <c r="B6270" s="138">
        <f>'Acct Summary 7-8'!F82</f>
        <v>-151151</v>
      </c>
      <c r="D6270" s="2" t="str">
        <f t="shared" si="96"/>
        <v>Error?</v>
      </c>
      <c r="E6270" s="2" t="s">
        <v>190</v>
      </c>
    </row>
    <row r="6271" spans="1:5" x14ac:dyDescent="0.2">
      <c r="A6271">
        <v>6210</v>
      </c>
      <c r="B6271" s="138">
        <f>'Acct Summary 7-8'!G82</f>
        <v>75364</v>
      </c>
      <c r="D6271" s="2" t="str">
        <f t="shared" ref="D6271:D6334" si="97">IF(ISBLANK(B6271),"OK",IF(A6271-B6271=0,"OK","Error?"))</f>
        <v>Error?</v>
      </c>
      <c r="E6271" s="2" t="s">
        <v>190</v>
      </c>
    </row>
    <row r="6272" spans="1:5" x14ac:dyDescent="0.2">
      <c r="A6272">
        <v>6211</v>
      </c>
      <c r="B6272" s="138">
        <f>'Acct Summary 7-8'!H82</f>
        <v>-2993921</v>
      </c>
      <c r="D6272" s="2" t="str">
        <f t="shared" si="97"/>
        <v>Error?</v>
      </c>
      <c r="E6272" s="2" t="s">
        <v>190</v>
      </c>
    </row>
    <row r="6273" spans="1:5" x14ac:dyDescent="0.2">
      <c r="A6273">
        <v>6212</v>
      </c>
      <c r="B6273" s="138">
        <f>'Acct Summary 7-8'!I82</f>
        <v>93204</v>
      </c>
      <c r="D6273" s="2" t="str">
        <f t="shared" si="97"/>
        <v>Error?</v>
      </c>
      <c r="E6273" s="2" t="s">
        <v>190</v>
      </c>
    </row>
    <row r="6274" spans="1:5" x14ac:dyDescent="0.2">
      <c r="A6274">
        <v>6213</v>
      </c>
      <c r="B6274" s="138">
        <f>'Acct Summary 7-8'!J82</f>
        <v>27472</v>
      </c>
      <c r="D6274" s="2" t="str">
        <f t="shared" si="97"/>
        <v>Error?</v>
      </c>
      <c r="E6274" s="2" t="s">
        <v>190</v>
      </c>
    </row>
    <row r="6275" spans="1:5" x14ac:dyDescent="0.2">
      <c r="A6275">
        <v>6214</v>
      </c>
      <c r="B6275" s="138">
        <f>'Acct Summary 7-8'!K82</f>
        <v>-55048</v>
      </c>
      <c r="D6275" s="2" t="str">
        <f t="shared" si="97"/>
        <v>Error?</v>
      </c>
      <c r="E6275" s="2" t="s">
        <v>190</v>
      </c>
    </row>
    <row r="6276" spans="1:5" x14ac:dyDescent="0.2">
      <c r="A6276">
        <v>6215</v>
      </c>
      <c r="B6276" s="138">
        <f>'Acct Summary 7-8'!C83</f>
        <v>3.8676776262086494E-2</v>
      </c>
      <c r="D6276" s="2" t="str">
        <f t="shared" si="97"/>
        <v>Error?</v>
      </c>
      <c r="E6276" s="2" t="s">
        <v>190</v>
      </c>
    </row>
    <row r="6277" spans="1:5" x14ac:dyDescent="0.2">
      <c r="A6277">
        <v>6216</v>
      </c>
      <c r="B6277" s="138">
        <f>'Acct Summary 7-8'!D83</f>
        <v>-0.47097306088453939</v>
      </c>
      <c r="D6277" s="2" t="str">
        <f t="shared" si="97"/>
        <v>Error?</v>
      </c>
      <c r="E6277" s="2" t="s">
        <v>190</v>
      </c>
    </row>
    <row r="6278" spans="1:5" x14ac:dyDescent="0.2">
      <c r="A6278">
        <v>6217</v>
      </c>
      <c r="B6278" s="138">
        <f>'Acct Summary 7-8'!E83</f>
        <v>-1.8605378361475921E-2</v>
      </c>
      <c r="D6278" s="2" t="str">
        <f t="shared" si="97"/>
        <v>Error?</v>
      </c>
      <c r="E6278" s="2" t="s">
        <v>190</v>
      </c>
    </row>
    <row r="6279" spans="1:5" x14ac:dyDescent="0.2">
      <c r="A6279">
        <v>6218</v>
      </c>
      <c r="B6279" s="138">
        <f>'Acct Summary 7-8'!F83</f>
        <v>-0.2605876501407664</v>
      </c>
      <c r="D6279" s="2" t="str">
        <f t="shared" si="97"/>
        <v>Error?</v>
      </c>
      <c r="E6279" s="2" t="s">
        <v>190</v>
      </c>
    </row>
    <row r="6280" spans="1:5" x14ac:dyDescent="0.2">
      <c r="A6280">
        <v>6219</v>
      </c>
      <c r="B6280" s="138">
        <f>'Acct Summary 7-8'!G83</f>
        <v>0.25108695290037347</v>
      </c>
      <c r="D6280" s="2" t="str">
        <f t="shared" si="97"/>
        <v>Error?</v>
      </c>
      <c r="E6280" s="2" t="s">
        <v>190</v>
      </c>
    </row>
    <row r="6281" spans="1:5" x14ac:dyDescent="0.2">
      <c r="A6281">
        <v>6220</v>
      </c>
      <c r="B6281" s="138">
        <f>'Acct Summary 7-8'!H83</f>
        <v>-5.5737772366441778</v>
      </c>
      <c r="D6281" s="2" t="str">
        <f t="shared" si="97"/>
        <v>Error?</v>
      </c>
      <c r="E6281" s="2" t="s">
        <v>190</v>
      </c>
    </row>
    <row r="6282" spans="1:5" x14ac:dyDescent="0.2">
      <c r="A6282">
        <v>6221</v>
      </c>
      <c r="B6282" s="138">
        <f>'Acct Summary 7-8'!I83</f>
        <v>3.0404800359622463E-2</v>
      </c>
      <c r="D6282" s="2" t="str">
        <f t="shared" si="97"/>
        <v>Error?</v>
      </c>
      <c r="E6282" s="2" t="s">
        <v>190</v>
      </c>
    </row>
    <row r="6283" spans="1:5" x14ac:dyDescent="0.2">
      <c r="A6283">
        <v>6222</v>
      </c>
      <c r="B6283" s="138">
        <f>'Acct Summary 7-8'!J83</f>
        <v>0.15806128672197739</v>
      </c>
      <c r="D6283" s="2" t="str">
        <f t="shared" si="97"/>
        <v>Error?</v>
      </c>
      <c r="E6283" s="2" t="s">
        <v>190</v>
      </c>
    </row>
    <row r="6284" spans="1:5" x14ac:dyDescent="0.2">
      <c r="A6284">
        <v>6223</v>
      </c>
      <c r="B6284" s="138">
        <f>'Acct Summary 7-8'!K83</f>
        <v>-0.72839865562230399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283858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283858</v>
      </c>
      <c r="D6301" s="2" t="str">
        <f t="shared" si="97"/>
        <v>Error?</v>
      </c>
      <c r="E6301" s="2" t="s">
        <v>190</v>
      </c>
    </row>
    <row r="6302" spans="1:5" x14ac:dyDescent="0.2">
      <c r="A6302">
        <v>6241</v>
      </c>
      <c r="B6302" s="138">
        <f>'Revenues 9-14'!J14</f>
        <v>563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563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1972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1972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9013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286393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158752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93110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199094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15620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108730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413373</v>
      </c>
      <c r="D6983" s="2" t="str">
        <f t="shared" si="108"/>
        <v>Error?</v>
      </c>
    </row>
    <row r="6984" spans="1:4" x14ac:dyDescent="0.2">
      <c r="A6984">
        <v>6923</v>
      </c>
      <c r="B6984" s="138">
        <f>'Expenditures 15-22'!K86</f>
        <v>413373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65355</v>
      </c>
      <c r="D6987" s="2" t="str">
        <f t="shared" si="108"/>
        <v>Error?</v>
      </c>
    </row>
    <row r="6988" spans="1:4" x14ac:dyDescent="0.2">
      <c r="A6988">
        <v>6927</v>
      </c>
      <c r="B6988" s="138">
        <f>'Expenditures 15-22'!K88</f>
        <v>65355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478728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108730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258921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286393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281947</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281947</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281947</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8123</v>
      </c>
      <c r="D7073" s="2" t="str">
        <f t="shared" si="109"/>
        <v>Error?</v>
      </c>
    </row>
    <row r="7074" spans="1:4" x14ac:dyDescent="0.2">
      <c r="A7074">
        <v>7013</v>
      </c>
      <c r="B7074" s="138">
        <f>'Expenditures 15-22'!K216</f>
        <v>8123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1103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1103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172571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172571</v>
      </c>
      <c r="D7153" s="2" t="str">
        <f t="shared" si="110"/>
        <v>Error?</v>
      </c>
    </row>
    <row r="7154" spans="1:4" x14ac:dyDescent="0.2">
      <c r="A7154">
        <v>7093</v>
      </c>
      <c r="B7154" s="138">
        <f>'Expenditures 15-22'!C323</f>
        <v>39624</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6875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46499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18394</v>
      </c>
      <c r="D7174" s="2" t="str">
        <f t="shared" si="111"/>
        <v>Error?</v>
      </c>
    </row>
    <row r="7175" spans="1:4" x14ac:dyDescent="0.2">
      <c r="A7175">
        <v>7114</v>
      </c>
      <c r="B7175" s="138">
        <f>'Expenditures 15-22'!F325</f>
        <v>5890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24284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14464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14464</v>
      </c>
      <c r="D7198" s="2" t="str">
        <f t="shared" si="111"/>
        <v>Error?</v>
      </c>
    </row>
    <row r="7199" spans="1:4" x14ac:dyDescent="0.2">
      <c r="A7199">
        <v>7138</v>
      </c>
      <c r="B7199" s="138">
        <f>'Expenditures 15-22'!C330</f>
        <v>39624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213407</v>
      </c>
      <c r="D7201" s="2" t="str">
        <f t="shared" si="111"/>
        <v>Error?</v>
      </c>
    </row>
    <row r="7202" spans="1:4" x14ac:dyDescent="0.2">
      <c r="A7202">
        <v>7141</v>
      </c>
      <c r="B7202" s="138">
        <f>'Expenditures 15-22'!F330</f>
        <v>5890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258921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39624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213407</v>
      </c>
      <c r="D7218" s="2" t="str">
        <f t="shared" si="111"/>
        <v>Error?</v>
      </c>
    </row>
    <row r="7219" spans="1:4" x14ac:dyDescent="0.2">
      <c r="A7219">
        <v>7158</v>
      </c>
      <c r="B7219" s="138">
        <f>'Expenditures 15-22'!F342</f>
        <v>5890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258921</v>
      </c>
      <c r="D7224" s="2" t="str">
        <f t="shared" si="111"/>
        <v>Error?</v>
      </c>
    </row>
    <row r="7225" spans="1:4" x14ac:dyDescent="0.2">
      <c r="A7225">
        <v>7164</v>
      </c>
      <c r="B7225" s="138">
        <f>'Expenditures 15-22'!K343</f>
        <v>27472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25645</v>
      </c>
      <c r="D7246" s="2" t="str">
        <f t="shared" si="112"/>
        <v>Error?</v>
      </c>
    </row>
    <row r="7247" spans="1:4" x14ac:dyDescent="0.2">
      <c r="A7247">
        <f t="shared" si="113"/>
        <v>7186</v>
      </c>
      <c r="B7247" s="138">
        <f>'Expenditures 15-22'!E7</f>
        <v>4341</v>
      </c>
      <c r="D7247" s="2" t="str">
        <f t="shared" si="112"/>
        <v>Error?</v>
      </c>
    </row>
    <row r="7248" spans="1:4" x14ac:dyDescent="0.2">
      <c r="A7248">
        <f t="shared" si="113"/>
        <v>7187</v>
      </c>
      <c r="B7248" s="138">
        <f>'Expenditures 15-22'!F7</f>
        <v>10356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390677</v>
      </c>
      <c r="D7624" s="2" t="str">
        <f t="shared" si="124"/>
        <v>Error?</v>
      </c>
      <c r="E7624" s="2" t="s">
        <v>19</v>
      </c>
    </row>
    <row r="7625" spans="1:5" x14ac:dyDescent="0.2">
      <c r="A7625">
        <f t="shared" si="123"/>
        <v>7564</v>
      </c>
      <c r="B7625" s="138">
        <f>'Cap Outlay Deprec 26'!I17</f>
        <v>39067.699999999997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829134.7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3801145</v>
      </c>
      <c r="D7708" s="2" t="str">
        <f t="shared" si="126"/>
        <v>Error?</v>
      </c>
      <c r="E7708" s="2" t="s">
        <v>827</v>
      </c>
    </row>
    <row r="7709" spans="1:5" x14ac:dyDescent="0.2">
      <c r="A7709">
        <v>7648</v>
      </c>
      <c r="B7709" s="138">
        <f>'Rest Tax Levies-Tort Im 25'!K3</f>
        <v>12991</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9013</v>
      </c>
      <c r="D7712" s="2" t="str">
        <f t="shared" si="126"/>
        <v>Error?</v>
      </c>
      <c r="E7712" s="2" t="s">
        <v>827</v>
      </c>
    </row>
    <row r="7713" spans="1:6" x14ac:dyDescent="0.2">
      <c r="A7713">
        <v>7652</v>
      </c>
      <c r="B7713" s="138">
        <f>'Rest Tax Levies-Tort Im 25'!J8</f>
        <v>602011</v>
      </c>
      <c r="D7713" s="2" t="str">
        <f t="shared" si="126"/>
        <v>Error?</v>
      </c>
      <c r="E7713" s="2" t="s">
        <v>827</v>
      </c>
    </row>
    <row r="7714" spans="1:6" x14ac:dyDescent="0.2">
      <c r="A7714">
        <v>7653</v>
      </c>
      <c r="B7714" s="138">
        <f>'Rest Tax Levies-Tort Im 25'!K9</f>
        <v>12369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602011</v>
      </c>
      <c r="D7718" s="2" t="str">
        <f t="shared" si="126"/>
        <v>Error?</v>
      </c>
      <c r="E7718" s="2" t="s">
        <v>827</v>
      </c>
    </row>
    <row r="7719" spans="1:6" x14ac:dyDescent="0.2">
      <c r="A7719">
        <v>7658</v>
      </c>
      <c r="B7719" s="138">
        <f>'Rest Tax Levies-Tort Im 25'!K12</f>
        <v>21382</v>
      </c>
      <c r="D7719" s="2" t="str">
        <f t="shared" si="126"/>
        <v>Error?</v>
      </c>
      <c r="E7719" s="2" t="s">
        <v>827</v>
      </c>
    </row>
    <row r="7720" spans="1:6" x14ac:dyDescent="0.2">
      <c r="A7720">
        <v>7659</v>
      </c>
      <c r="B7720" s="138">
        <f>'Rest Tax Levies-Tort Im 25'!H14</f>
        <v>52547</v>
      </c>
      <c r="D7720" s="2" t="str">
        <f t="shared" si="126"/>
        <v>Error?</v>
      </c>
      <c r="E7720" s="2" t="s">
        <v>827</v>
      </c>
    </row>
    <row r="7721" spans="1:6" x14ac:dyDescent="0.2">
      <c r="A7721">
        <v>7660</v>
      </c>
      <c r="B7721" s="138">
        <f>'Rest Tax Levies-Tort Im 25'!K14</f>
        <v>18894</v>
      </c>
      <c r="D7721" s="2" t="str">
        <f t="shared" si="126"/>
        <v>Error?</v>
      </c>
      <c r="E7721" s="2" t="s">
        <v>827</v>
      </c>
    </row>
    <row r="7722" spans="1:6" x14ac:dyDescent="0.2">
      <c r="A7722">
        <v>7661</v>
      </c>
      <c r="B7722" s="138">
        <f>'Rest Tax Levies-Tort Im 25'!J15</f>
        <v>3085629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524920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524920</v>
      </c>
      <c r="D7727" s="2" t="str">
        <f t="shared" si="126"/>
        <v>Error?</v>
      </c>
      <c r="E7727" s="2" t="s">
        <v>827</v>
      </c>
    </row>
    <row r="7728" spans="1:6" x14ac:dyDescent="0.2">
      <c r="A7728">
        <v>7667</v>
      </c>
      <c r="B7728" s="138">
        <f>'Revenues 9-14'!E103</f>
        <v>524920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3610549</v>
      </c>
      <c r="D7730" s="2" t="str">
        <f t="shared" si="126"/>
        <v>Error?</v>
      </c>
      <c r="E7730" s="2" t="s">
        <v>827</v>
      </c>
    </row>
    <row r="7731" spans="1:6" x14ac:dyDescent="0.2">
      <c r="A7731">
        <v>7670</v>
      </c>
      <c r="B7731" s="138">
        <f>'Revenues 9-14'!H103</f>
        <v>77091</v>
      </c>
      <c r="D7731" s="2" t="str">
        <f t="shared" si="126"/>
        <v>Error?</v>
      </c>
      <c r="E7731" s="2" t="s">
        <v>827</v>
      </c>
    </row>
    <row r="7732" spans="1:6" x14ac:dyDescent="0.2">
      <c r="A7732">
        <v>7671</v>
      </c>
      <c r="B7732" s="138">
        <f>'Rest Tax Levies-Tort Im 25'!J24</f>
        <v>792607</v>
      </c>
      <c r="D7732" s="2" t="str">
        <f t="shared" si="126"/>
        <v>Error?</v>
      </c>
      <c r="E7732" s="2" t="s">
        <v>827</v>
      </c>
    </row>
    <row r="7733" spans="1:6" x14ac:dyDescent="0.2">
      <c r="A7733">
        <v>7672</v>
      </c>
      <c r="B7733" s="138">
        <f>'Rest Tax Levies-Tort Im 25'!K24</f>
        <v>15479</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792607</v>
      </c>
      <c r="D7742" s="2" t="str">
        <f t="shared" si="126"/>
        <v>Error?</v>
      </c>
      <c r="E7742" s="2" t="s">
        <v>827</v>
      </c>
    </row>
    <row r="7743" spans="1:6" x14ac:dyDescent="0.2">
      <c r="A7743">
        <v>7682</v>
      </c>
      <c r="B7743" s="138">
        <f>'Rest Tax Levies-Tort Im 25'!K26</f>
        <v>15479</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6000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Argenta-Oreana CUSD 1</v>
      </c>
      <c r="B7" s="2407"/>
      <c r="C7" s="2407"/>
      <c r="D7" s="2408"/>
      <c r="E7" s="2409">
        <f>COVER!A13</f>
        <v>39055001026</v>
      </c>
      <c r="F7" s="2410"/>
      <c r="G7" s="2416">
        <f>COVER!T23</f>
        <v>66.004384999999999</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FLOYD &amp; ASSOCIATES, CPAs</v>
      </c>
      <c r="H9" s="2422"/>
      <c r="I9" s="2422"/>
      <c r="J9" s="2422"/>
      <c r="K9" s="2422"/>
      <c r="L9" s="2423"/>
    </row>
    <row r="10" spans="1:29" ht="13.5" customHeight="1" x14ac:dyDescent="0.2">
      <c r="A10" s="2396" t="str">
        <f>COVER!A38</f>
        <v>MR. DAMIAN JONES</v>
      </c>
      <c r="B10" s="2397"/>
      <c r="C10" s="2397"/>
      <c r="D10" s="2397"/>
      <c r="E10" s="2397"/>
      <c r="F10" s="2398"/>
      <c r="G10" s="2390" t="str">
        <f>COVER!T17</f>
        <v>910 STATE HIGHWAY 54 EAST</v>
      </c>
      <c r="H10" s="2391"/>
      <c r="I10" s="2391"/>
      <c r="J10" s="2391"/>
      <c r="K10" s="2391"/>
      <c r="L10" s="2392"/>
    </row>
    <row r="11" spans="1:29" ht="13.5" customHeight="1" x14ac:dyDescent="0.2">
      <c r="A11" s="1184" t="s">
        <v>1519</v>
      </c>
      <c r="B11" s="1185"/>
      <c r="C11" s="1186"/>
      <c r="D11" s="1191"/>
      <c r="E11" s="1186"/>
      <c r="F11" s="1190"/>
      <c r="G11" s="2390" t="str">
        <f>COVER!T19</f>
        <v>CLINTON</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JULIE.FLOYD@FRONTIER.COM</v>
      </c>
      <c r="J13" s="2403"/>
      <c r="K13" s="2403"/>
      <c r="L13" s="2404"/>
    </row>
    <row r="14" spans="1:29" ht="13.5" customHeight="1" x14ac:dyDescent="0.2">
      <c r="A14" s="2390" t="str">
        <f>COVER!A19</f>
        <v>500 NORTH MAIN STREET, P.O. BOX 440</v>
      </c>
      <c r="B14" s="2391"/>
      <c r="C14" s="2391"/>
      <c r="D14" s="2391"/>
      <c r="E14" s="2391"/>
      <c r="F14" s="2392"/>
      <c r="G14" s="1195" t="s">
        <v>1185</v>
      </c>
      <c r="H14" s="1193"/>
      <c r="I14" s="1193"/>
      <c r="J14" s="1193"/>
      <c r="K14" s="1193"/>
      <c r="L14" s="1194"/>
    </row>
    <row r="15" spans="1:29" ht="13.5" customHeight="1" x14ac:dyDescent="0.2">
      <c r="A15" s="2390" t="str">
        <f>COVER!A21</f>
        <v>ARGENTA</v>
      </c>
      <c r="B15" s="2391"/>
      <c r="C15" s="2391"/>
      <c r="D15" s="2391"/>
      <c r="E15" s="2391"/>
      <c r="F15" s="2392"/>
      <c r="G15" s="2387" t="str">
        <f>COVER!T15</f>
        <v>JULIE M FLOYD, CPA</v>
      </c>
      <c r="H15" s="2388"/>
      <c r="I15" s="2388"/>
      <c r="J15" s="2388"/>
      <c r="K15" s="2388"/>
      <c r="L15" s="2389"/>
    </row>
    <row r="16" spans="1:29" ht="12.2" customHeight="1" x14ac:dyDescent="0.2">
      <c r="A16" s="2412">
        <f>COVER!A25</f>
        <v>62501</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217-935-8871</v>
      </c>
      <c r="H18" s="2407"/>
      <c r="I18" s="2407"/>
      <c r="J18" s="2407"/>
      <c r="K18" s="2406" t="str">
        <f>COVER!X21</f>
        <v>217-935-5711</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Argenta-Oreana CUSD 1</v>
      </c>
      <c r="B1" s="2405"/>
      <c r="C1" s="2405"/>
      <c r="D1" s="2405"/>
    </row>
    <row r="2" spans="1:11" s="1212" customFormat="1" ht="12.75" x14ac:dyDescent="0.2">
      <c r="A2" s="2429">
        <f>'Single Audit Cover'!E7</f>
        <v>39055001026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Argenta-Oreana CUSD 1</v>
      </c>
      <c r="B1" s="2432"/>
      <c r="C1" s="2432"/>
      <c r="D1" s="2432"/>
      <c r="E1" s="2432"/>
    </row>
    <row r="2" spans="1:5" x14ac:dyDescent="0.2">
      <c r="A2" s="2433">
        <f>'Single Audit Cover'!E7</f>
        <v>39055001026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528443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29764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558207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558207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558207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Argenta-Oreana CUSD 1</v>
      </c>
      <c r="C1" s="2436"/>
      <c r="D1" s="2436"/>
      <c r="E1" s="2436"/>
      <c r="F1" s="2436"/>
      <c r="G1" s="2436"/>
      <c r="H1" s="2436"/>
      <c r="I1" s="2436"/>
      <c r="J1" s="2436"/>
      <c r="K1" s="2436"/>
      <c r="L1" s="2436"/>
      <c r="M1" s="2436"/>
    </row>
    <row r="2" spans="2:14" ht="15" x14ac:dyDescent="0.2">
      <c r="B2" s="2437">
        <f>'Single Audit Cover'!E7</f>
        <v>39055001026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Argenta-Oreana CUSD 1</v>
      </c>
      <c r="B1" s="2449"/>
      <c r="C1" s="2449"/>
      <c r="D1" s="2449"/>
      <c r="E1" s="2449"/>
      <c r="F1" s="2449"/>
    </row>
    <row r="2" spans="1:7" ht="13.5" customHeight="1" x14ac:dyDescent="0.2">
      <c r="A2" s="2437">
        <f>'Single Audit Cover'!E7</f>
        <v>39055001026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Argenta-Oreana CUSD 1</v>
      </c>
      <c r="C1" s="2464"/>
      <c r="D1" s="2464"/>
      <c r="E1" s="2464"/>
      <c r="F1" s="2464"/>
      <c r="G1" s="2464"/>
      <c r="H1" s="2464"/>
      <c r="I1" s="2464"/>
      <c r="J1" s="1406"/>
    </row>
    <row r="2" spans="2:10" s="317" customFormat="1" ht="12.75" customHeight="1" x14ac:dyDescent="0.2">
      <c r="B2" s="2465">
        <f>'Single Audit Cover'!E7</f>
        <v>39055001026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Argenta-Oreana CUSD 1</v>
      </c>
      <c r="C1" s="2463"/>
      <c r="D1" s="2463"/>
      <c r="E1" s="2463"/>
      <c r="F1" s="2463"/>
      <c r="G1" s="2463"/>
      <c r="H1" s="2463"/>
      <c r="I1" s="2463"/>
      <c r="J1" s="2463"/>
      <c r="K1" s="2463"/>
      <c r="L1" s="1371"/>
      <c r="M1" s="1371"/>
    </row>
    <row r="2" spans="1:13" ht="12" customHeight="1" x14ac:dyDescent="0.2">
      <c r="B2" s="2465">
        <f>'Single Audit Cover'!E7</f>
        <v>39055001026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Argenta-Oreana CUSD 1</v>
      </c>
      <c r="C1" s="2486"/>
      <c r="D1" s="2486"/>
      <c r="E1" s="2486"/>
      <c r="F1" s="2486"/>
      <c r="G1" s="2486"/>
      <c r="H1" s="2486"/>
      <c r="I1" s="2486"/>
      <c r="J1" s="2486"/>
      <c r="K1" s="2486"/>
      <c r="L1" s="1449"/>
    </row>
    <row r="2" spans="1:12" ht="12.75" customHeight="1" x14ac:dyDescent="0.2">
      <c r="B2" s="2487">
        <f>'Single Audit Cover'!E7</f>
        <v>39055001026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Argenta-Oreana CUSD 1</v>
      </c>
      <c r="C1" s="2463"/>
      <c r="D1" s="2463"/>
      <c r="E1" s="1469"/>
    </row>
    <row r="2" spans="2:5" s="1279" customFormat="1" ht="12.75" customHeight="1" x14ac:dyDescent="0.2">
      <c r="B2" s="2465">
        <f>'Single Audit Cover'!E7</f>
        <v>39055001026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d21dc803-237d-4c68-8692-8d731fd29118"/>
    <ds:schemaRef ds:uri="http://schemas.openxmlformats.org/package/2006/metadata/core-properties"/>
    <ds:schemaRef ds:uri="4d435f69-8686-490b-bd6d-b153bf22ab50"/>
    <ds:schemaRef ds:uri="http://www.w3.org/XML/1998/namespace"/>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2019-09-16T21:38:55Z</cp:lastPrinted>
  <dcterms:created xsi:type="dcterms:W3CDTF">2003-10-29T19:06:34Z</dcterms:created>
  <dcterms:modified xsi:type="dcterms:W3CDTF">2019-11-13T17:33:44Z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