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D1D31C-471E-4EA7-833A-F4C53A99EC6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4" i="18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B66"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24" i="37"/>
  <c r="B4270" i="106" s="1"/>
  <c r="D4270" i="106" s="1"/>
  <c r="L5" i="11"/>
  <c r="B2056" i="106" s="1"/>
  <c r="D2056" i="106" s="1"/>
  <c r="F50" i="34" l="1"/>
  <c r="H28" i="118"/>
  <c r="G14" i="4"/>
  <c r="B2609" i="106" s="1"/>
  <c r="D2609" i="106" s="1"/>
  <c r="F69" i="34"/>
  <c r="F64" i="34"/>
  <c r="L15" i="11"/>
  <c r="B3459" i="106" s="1"/>
  <c r="D3459" i="106" s="1"/>
  <c r="H33" i="118"/>
  <c r="F46" i="34"/>
  <c r="I210" i="29"/>
  <c r="B7071" i="106" s="1"/>
  <c r="D7071" i="106" s="1"/>
  <c r="G33" i="108"/>
  <c r="F72" i="34"/>
  <c r="D54" i="36"/>
  <c r="F71" i="34"/>
  <c r="F36" i="108"/>
  <c r="J210" i="29"/>
  <c r="B7072" i="106" s="1"/>
  <c r="D7072" i="106" s="1"/>
  <c r="H76" i="4"/>
  <c r="B3298" i="106" s="1"/>
  <c r="D3298" i="106" s="1"/>
  <c r="F49" i="34"/>
  <c r="F42" i="34"/>
  <c r="G30" i="108"/>
  <c r="B1124" i="106"/>
  <c r="D1124" i="106" s="1"/>
  <c r="E30" i="108"/>
  <c r="B6995" i="106"/>
  <c r="D6995" i="106" s="1"/>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4" i="106" l="1"/>
  <c r="F66" i="34"/>
  <c r="D7250" i="106"/>
  <c r="D7255" i="106"/>
  <c r="D7251" i="106"/>
  <c r="D7256" i="106"/>
  <c r="D7252" i="106"/>
  <c r="H77" i="4"/>
  <c r="B3299" i="106" s="1"/>
  <c r="D3299" i="106" s="1"/>
  <c r="J16" i="4"/>
  <c r="B6226" i="106" s="1"/>
  <c r="D6226" i="106" s="1"/>
  <c r="I7" i="4"/>
  <c r="B4444" i="106" s="1"/>
  <c r="D4444"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<sst xmlns="http://schemas.openxmlformats.org/spreadsheetml/2006/main" count="5129" uniqueCount="2128">
  <si>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</si>
  <si>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</si>
  <si>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</si>
  <si>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</si>
  <si>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</si>
  <si>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</si>
  <si>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</si>
  <si>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</si>
  <si>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</si>
  <si>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</si>
  <si>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</si>
  <si>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</si>
  <si>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</si>
  <si>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</si>
  <si>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</si>
  <si>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</si>
  <si>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</si>
  <si>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</si>
  <si>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</si>
  <si>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</si>
  <si>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</si>
  <si>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</si>
  <si>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</si>
  <si>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</si>
  <si>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</si>
  <si>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</si>
  <si>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</si>
  <si>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</si>
  <si>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</si>
  <si>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</si>
  <si>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</si>
  <si>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</si>
  <si>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</si>
  <si>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</si>
  <si>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</si>
  <si>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</si>
  <si>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</si>
  <si>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</si>
  <si>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</si>
  <si>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</si>
  <si>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</si>
  <si>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</si>
  <si>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</si>
  <si>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</si>
  <si>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</si>
  <si>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</si>
  <si>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</si>
  <si>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</si>
  <si>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</si>
  <si>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</si>
  <si>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</si>
  <si>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</si>
  <si>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</si>
  <si>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</si>
  <si>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</si>
  <si>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</si>
  <si>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</si>
  <si>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</si>
  <si>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</si>
  <si>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</si>
  <si>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</si>
  <si>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</si>
  <si>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</si>
  <si>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</si>
  <si>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</si>
  <si>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</si>
  <si>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</si>
  <si>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</si>
  <si>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</si>
  <si>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</si>
  <si>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</si>
  <si>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</si>
  <si>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</si>
  <si>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</si>
  <si>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</si>
  <si>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</si>
  <si>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</si>
  <si>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</si>
  <si>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</si>
  <si>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</si>
  <si>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</si>
  <si>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</si>
  <si>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</si>
  <si>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</si>
  <si>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</si>
  <si>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</si>
  <si>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</si>
  <si>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</si>
  <si>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</si>
  <si>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</si>
  <si>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</si>
  <si>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</si>
  <si>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</si>
  <si>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</si>
  <si>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</si>
  <si>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</si>
  <si>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</si>
  <si>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</si>
  <si>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</si>
  <si>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</si>
  <si>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</si>
  <si>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</si>
  <si>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</si>
  <si>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</si>
  <si>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</si>
  <si>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</si>
  <si>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</si>
  <si>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</si>
  <si>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</si>
  <si>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</si>
  <si>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</si>
  <si>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</si>
  <si>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</si>
  <si>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</si>
  <si>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</si>
  <si>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</si>
  <si>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</si>
  <si>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</si>
  <si>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</si>
  <si>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</si>
  <si>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</si>
  <si>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</si>
  <si>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</si>
  <si>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</si>
  <si>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</si>
  <si>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</si>
  <si>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</si>
  <si>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</si>
  <si>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</si>
  <si>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</si>
  <si>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</si>
  <si>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</si>
  <si>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</si>
  <si>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</si>
  <si>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</si>
  <si>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</si>
  <si>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</si>
  <si>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</si>
  <si>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</si>
  <si>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</si>
  <si>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</si>
  <si>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</si>
  <si>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</si>
  <si>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</si>
  <si>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</si>
  <si>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</si>
  <si>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</si>
  <si>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</si>
  <si>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</si>
  <si>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</si>
  <si>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</si>
  <si>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</si>
  <si>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</si>
  <si>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</si>
  <si>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</si>
  <si>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</si>
  <si>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</si>
  <si>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</si>
  <si>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</si>
  <si>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</si>
  <si>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</si>
  <si>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</si>
  <si>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</si>
  <si>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</si>
  <si>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</si>
  <si>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</si>
  <si>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</si>
  <si>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</si>
  <si>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</si>
  <si>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</si>
  <si>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</si>
  <si>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</si>
  <si>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</si>
  <si>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</si>
  <si>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</si>
  <si>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</si>
  <si>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</si>
  <si>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</si>
  <si>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</si>
  <si>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</si>
  <si>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</si>
  <si>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</si>
  <si>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</si>
  <si>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</si>
  <si>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</si>
  <si>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</si>
  <si>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</si>
  <si>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</si>
  <si>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</si>
  <si>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</si>
  <si>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</si>
  <si>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</si>
  <si>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</si>
  <si>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</si>
  <si>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</si>
  <si>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</si>
  <si>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</si>
  <si>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</si>
  <si>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</si>
  <si>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</si>
  <si>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</si>
  <si>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</si>
  <si>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</si>
  <si>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</si>
  <si>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</si>
  <si>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</si>
  <si>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</si>
  <si>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</si>
  <si>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</si>
  <si>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</si>
  <si>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</si>
  <si>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</si>
  <si>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</si>
  <si>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</si>
  <si>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</si>
  <si>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</si>
  <si>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</si>
  <si>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</si>
  <si>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</si>
  <si>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</si>
  <si>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</si>
  <si>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</si>
  <si>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</si>
  <si>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</si>
  <si>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</si>
  <si>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</si>
  <si>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</si>
  <si>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</si>
  <si>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</si>
  <si>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</si>
  <si>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</si>
  <si>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</si>
  <si>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</si>
  <si>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</si>
  <si>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</si>
  <si>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</si>
  <si>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</si>
  <si>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</si>
  <si>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</si>
  <si>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</si>
  <si>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</si>
  <si>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</si>
  <si>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</si>
  <si>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</si>
  <si>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</si>
  <si>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</si>
  <si>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</si>
  <si>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</si>
  <si>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</si>
  <si>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</si>
  <si>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</si>
  <si>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</si>
  <si>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</si>
  <si>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</si>
  <si>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</si>
  <si>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</si>
  <si>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</si>
  <si>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</si>
  <si>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</si>
  <si>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</si>
  <si>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</si>
  <si>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</si>
  <si>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</si>
  <si>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</si>
  <si>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</si>
  <si>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</si>
  <si>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</si>
  <si>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</si>
  <si>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</si>
  <si>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</si>
  <si>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</si>
  <si>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</si>
  <si>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</si>
  <si>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</si>
  <si>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</si>
  <si>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</si>
  <si>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</si>
  <si>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</si>
  <si>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</si>
  <si>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</si>
  <si>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</si>
  <si>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</si>
  <si>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</si>
  <si>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</si>
  <si>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</si>
  <si>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</si>
  <si>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</si>
  <si>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</si>
  <si>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</si>
  <si>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</si>
  <si>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</si>
  <si>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</si>
  <si>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</si>
  <si>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</si>
  <si>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</si>
  <si>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</si>
  <si>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</si>
  <si>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</si>
  <si>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</si>
  <si>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</si>
  <si>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</si>
  <si>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</si>
  <si>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</si>
  <si>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</si>
  <si>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</si>
  <si>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</si>
  <si>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</si>
  <si>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</si>
  <si>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</si>
  <si>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</si>
  <si>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</si>
  <si>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</si>
  <si>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</si>
  <si>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</si>
  <si>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</si>
  <si>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</si>
  <si>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</si>
  <si>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</si>
  <si>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</si>
  <si>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</si>
  <si>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</si>
  <si>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</si>
  <si>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</si>
  <si>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</si>
  <si>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</si>
  <si>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</si>
  <si>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</si>
  <si>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</si>
  <si>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</si>
  <si>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</si>
  <si>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</si>
  <si>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</si>
  <si>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</si>
  <si>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</si>
  <si>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</si>
  <si>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</si>
  <si>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</si>
  <si>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</si>
  <si>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</si>
  <si>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</si>
  <si>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</si>
  <si>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</si>
  <si>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</si>
  <si>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</si>
  <si>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</si>
  <si>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</si>
  <si>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</si>
  <si>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</si>
  <si>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</si>
  <si>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</si>
  <si>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</si>
  <si>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</si>
  <si>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</si>
  <si>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</si>
  <si>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</si>
  <si>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</si>
  <si>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</si>
  <si>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</si>
  <si>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</si>
  <si>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</si>
  <si>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</si>
  <si>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</si>
  <si>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</si>
  <si>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</si>
  <si>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</si>
  <si>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</si>
  <si>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</si>
  <si>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</si>
  <si>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</si>
  <si>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</si>
  <si>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</si>
  <si>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</si>
  <si>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</si>
  <si>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</si>
  <si>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</si>
  <si>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</si>
  <si>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</si>
  <si>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</si>
  <si>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</si>
  <si>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</si>
  <si>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</si>
  <si>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</si>
  <si>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</si>
  <si>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</si>
  <si>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</si>
  <si>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</si>
  <si>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</si>
  <si>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</si>
  <si>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</si>
  <si>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</si>
  <si>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</si>
  <si>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</si>
  <si>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</si>
  <si>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</si>
  <si>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</si>
  <si>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</si>
  <si>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</si>
  <si>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</si>
  <si>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</si>
  <si>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</si>
  <si>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</si>
  <si>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</si>
  <si>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</si>
  <si>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</si>
  <si>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</si>
  <si>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</si>
  <si>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</si>
  <si>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</si>
  <si>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</si>
  <si>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</si>
  <si>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</si>
  <si>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</si>
  <si>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</si>
  <si>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</si>
  <si>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</si>
  <si>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</si>
  <si>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</si>
  <si>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</si>
  <si>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</si>
  <si>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</si>
  <si>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</si>
  <si>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</si>
  <si>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</si>
  <si>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</si>
  <si>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</si>
  <si>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</si>
  <si>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</si>
  <si>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</si>
  <si>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</si>
  <si>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</si>
  <si>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</si>
  <si>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</si>
  <si>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</si>
  <si>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</si>
  <si>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</si>
  <si>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</si>
  <si>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</si>
  <si>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</si>
  <si>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</si>
  <si>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</si>
  <si>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</si>
  <si>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</si>
  <si>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</si>
  <si>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</si>
  <si>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</si>
  <si>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</si>
  <si>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</si>
  <si>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</si>
  <si>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</si>
  <si>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</si>
  <si>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</si>
  <si>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</si>
  <si>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</si>
  <si>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</si>
  <si>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</si>
  <si>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</si>
  <si>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</si>
  <si>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</si>
  <si>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</si>
  <si>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</si>
  <si>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</si>
  <si>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</si>
  <si>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</si>
  <si>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</si>
  <si>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</si>
  <si>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</si>
  <si>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</si>
  <si>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</si>
  <si>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</si>
  <si>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</si>
  <si>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</si>
  <si>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</si>
  <si>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</si>
  <si>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</si>
  <si>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</si>
  <si>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</si>
  <si>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</si>
  <si>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</si>
  <si>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</si>
  <si>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</si>
  <si>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</si>
  <si>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</si>
  <si>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</si>
  <si>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</si>
  <si>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</si>
  <si>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</si>
  <si>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</si>
  <si>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</si>
  <si>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</si>
  <si>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</si>
  <si>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</si>
  <si>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</si>
  <si>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</si>
  <si>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</si>
  <si>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</si>
  <si>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</si>
  <si>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</si>
  <si>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</si>
  <si>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</si>
  <si>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</si>
  <si>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</si>
  <si>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</si>
  <si>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</si>
  <si>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</si>
  <si>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</si>
  <si>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</si>
  <si>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</si>
  <si>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</si>
  <si>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</si>
  <si>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</si>
  <si>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</si>
  <si>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</si>
  <si>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</si>
  <si>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</si>
  <si>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</si>
  <si>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</si>
  <si>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</si>
  <si>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</si>
  <si>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</si>
  <si>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</si>
  <si>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</si>
  <si>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</si>
  <si>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</si>
  <si>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</si>
  <si>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</si>
  <si>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</si>
  <si>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</si>
  <si>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</si>
  <si>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</si>
  <si>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</si>
  <si>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</si>
  <si>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</si>
  <si>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</si>
  <si>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</si>
  <si>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</si>
  <si>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</si>
  <si>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</si>
  <si>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</si>
  <si>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</si>
  <si>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</si>
  <si>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</si>
  <si>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</si>
  <si>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</si>
  <si>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</si>
  <si>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</si>
  <si>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</si>
  <si>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</si>
  <si>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</si>
  <si>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</si>
  <si>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</si>
  <si>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</si>
  <si>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</si>
  <si>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</si>
  <si>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</si>
  <si>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</si>
  <si>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</si>
  <si>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</si>
  <si>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</si>
  <si>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</si>
  <si>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</si>
  <si>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</si>
  <si>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</si>
  <si>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</si>
  <si>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</si>
  <si>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</si>
  <si>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</si>
  <si>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</si>
  <si>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</si>
  <si>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</si>
  <si>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</si>
  <si>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</si>
  <si>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</si>
  <si>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</si>
  <si>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</si>
  <si>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</si>
  <si>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</si>
  <si>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</si>
  <si>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</si>
  <si>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</si>
  <si>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</si>
  <si>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</si>
  <si>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</si>
  <si>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</si>
  <si>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</si>
  <si>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</si>
  <si>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</si>
  <si>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</si>
  <si>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</si>
  <si>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</si>
  <si>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</si>
  <si>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</si>
  <si>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</si>
  <si>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</si>
  <si>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</si>
  <si>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</si>
  <si>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</si>
  <si>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</si>
  <si>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</si>
  <si>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</si>
  <si>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</si>
  <si>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</si>
  <si>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</si>
  <si>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</si>
  <si>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</si>
  <si>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</si>
  <si>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</si>
  <si>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</si>
  <si>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</si>
  <si>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</si>
  <si>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</si>
  <si>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</si>
  <si>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</si>
  <si>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</si>
  <si>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</si>
  <si>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</si>
  <si>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</si>
  <si>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</si>
  <si>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</si>
  <si>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</si>
  <si>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</si>
  <si>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</si>
  <si>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</si>
  <si>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</si>
  <si>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</si>
  <si>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</si>
  <si>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</si>
  <si>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</si>
  <si>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</si>
  <si>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</si>
  <si>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</si>
  <si>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</si>
  <si>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</si>
  <si>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</si>
  <si>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</si>
  <si>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</si>
  <si>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</si>
  <si>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</si>
  <si>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</si>
  <si>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</si>
  <si>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</si>
  <si>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</si>
  <si>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</si>
  <si>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</si>
  <si>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</si>
  <si>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</si>
  <si>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</si>
  <si>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</si>
  <si>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</si>
  <si>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</si>
  <si>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</si>
  <si>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</si>
  <si>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</si>
  <si>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</si>
  <si>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</si>
  <si>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</si>
  <si>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</si>
  <si>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</si>
  <si>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</si>
  <si>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</si>
  <si>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</si>
  <si>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</si>
  <si>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</si>
  <si>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</si>
  <si>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</si>
  <si>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</si>
  <si>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</si>
  <si>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</si>
  <si>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</si>
  <si>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</si>
  <si>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</si>
  <si>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</si>
  <si>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</si>
  <si>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</si>
  <si>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</si>
  <si>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</si>
  <si>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</si>
  <si>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</si>
  <si>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</si>
  <si>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</si>
  <si>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</si>
  <si>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</si>
  <si>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</si>
  <si>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</si>
  <si>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</si>
  <si>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</si>
  <si>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</si>
  <si>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</si>
  <si>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</si>
  <si>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</si>
  <si>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</si>
  <si>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</si>
  <si>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</si>
  <si>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</si>
  <si>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</si>
  <si>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</si>
  <si>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</si>
  <si>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</si>
  <si>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</si>
  <si>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</si>
  <si>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</si>
  <si>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</si>
  <si>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</si>
  <si>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</si>
  <si>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</si>
  <si>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</si>
  <si>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</si>
  <si>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</si>
  <si>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</si>
  <si>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</si>
  <si>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</si>
  <si>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</si>
  <si>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</si>
  <si>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</si>
  <si>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</si>
  <si>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</si>
  <si>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</si>
  <si>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</si>
  <si>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</si>
  <si>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</si>
  <si>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</si>
  <si>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</si>
  <si>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</si>
  <si>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</si>
  <si>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</si>
  <si>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</si>
  <si>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</si>
  <si>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</si>
  <si>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</si>
  <si>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</si>
  <si>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</si>
  <si>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</si>
  <si>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</si>
  <si>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</si>
  <si>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</si>
  <si>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</si>
  <si>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</si>
  <si>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</si>
  <si>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</si>
  <si>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</si>
  <si>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</si>
  <si>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</si>
  <si>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</si>
  <si>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</si>
  <si>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</si>
  <si>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</si>
  <si>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</si>
  <si>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</si>
  <si>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</si>
  <si>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</si>
  <si>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</si>
  <si>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</si>
  <si>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</si>
  <si>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</si>
  <si>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</si>
  <si>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</si>
  <si>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</si>
  <si>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</si>
  <si>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</si>
  <si>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</si>
  <si>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</si>
  <si>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</si>
  <si>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</si>
  <si>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</si>
  <si>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</si>
  <si>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</si>
  <si>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</si>
  <si>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</si>
  <si>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</si>
  <si>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</si>
  <si>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</si>
  <si>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</si>
  <si>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</si>
  <si>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</si>
  <si>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</si>
  <si>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</si>
  <si>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</si>
  <si>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</si>
  <si>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</si>
  <si>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</si>
  <si>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</si>
  <si>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</si>
  <si>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</si>
  <si>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</si>
  <si>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</si>
  <si>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</si>
  <si>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</si>
  <si>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</si>
  <si>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</si>
  <si>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</si>
  <si>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</si>
  <si>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</si>
  <si>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</si>
  <si>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</si>
  <si>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</si>
  <si>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</si>
  <si>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</si>
  <si>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</si>
  <si>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</si>
  <si>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</si>
  <si>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</si>
  <si>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</si>
  <si>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</si>
  <si>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</si>
  <si>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</si>
  <si>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</si>
  <si>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</si>
  <si>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</si>
  <si>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</si>
  <si>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</si>
  <si>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</si>
  <si>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</si>
  <si>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</si>
  <si>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</si>
  <si>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</si>
  <si>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</si>
  <si>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</si>
  <si>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</si>
  <si>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</si>
  <si>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</si>
  <si>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</si>
  <si>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</si>
  <si>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</si>
  <si>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</si>
  <si>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</si>
  <si>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</si>
  <si>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</si>
  <si>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</si>
  <si>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</si>
  <si>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</si>
  <si>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</si>
  <si>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</si>
  <si>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</si>
  <si>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</si>
  <si>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</si>
  <si>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</si>
  <si>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</si>
  <si>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</si>
  <si>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</si>
  <si>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</si>
  <si>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</si>
  <si>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</si>
  <si>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</si>
  <si>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</si>
  <si>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</si>
  <si>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</si>
  <si>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</si>
  <si>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</si>
  <si>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</si>
  <si>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</si>
  <si>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</si>
  <si>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</si>
  <si>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</si>
  <si>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</si>
  <si>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</si>
  <si>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</si>
  <si>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</si>
  <si>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</si>
  <si>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</si>
  <si>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</si>
  <si>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</si>
  <si>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</si>
  <si>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</si>
  <si>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</si>
  <si>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</si>
  <si>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</si>
  <si>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</si>
  <si>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</si>
  <si>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</si>
  <si>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</si>
  <si>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</si>
  <si>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</si>
  <si>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</si>
  <si>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</si>
  <si>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</si>
  <si>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</si>
  <si>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</si>
  <si>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</si>
  <si>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</si>
  <si>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</si>
  <si>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</si>
  <si>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</si>
  <si>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</si>
  <si>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</si>
  <si>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</si>
  <si>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</si>
  <si>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</si>
  <si>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</si>
  <si>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</si>
  <si>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</si>
  <si>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</si>
  <si>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</si>
  <si>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</si>
  <si>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</si>
  <si>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</si>
  <si>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</si>
  <si>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</si>
  <si>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</si>
  <si>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</si>
  <si>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</si>
  <si>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</si>
  <si>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</si>
  <si>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</si>
  <si>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</si>
  <si>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</si>
  <si>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</si>
  <si>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</si>
  <si>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</si>
  <si>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</si>
  <si>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</si>
  <si>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</si>
  <si>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</si>
  <si>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</si>
  <si>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</si>
  <si>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</si>
  <si>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</si>
  <si>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</si>
  <si>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</si>
  <si>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</si>
  <si>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</si>
  <si>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</si>
  <si>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</si>
  <si>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</si>
  <si>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</si>
  <si>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</si>
  <si>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</si>
  <si>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</si>
  <si>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</si>
  <si>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</si>
  <si>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</si>
  <si>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</si>
  <si>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</si>
  <si>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</si>
  <si>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</si>
  <si>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</si>
  <si>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</si>
  <si>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</si>
  <si>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</si>
  <si>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</si>
  <si>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</si>
  <si>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</si>
  <si>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</si>
  <si>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</si>
  <si>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</si>
  <si>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</si>
  <si>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</si>
  <si>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</si>
  <si>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</si>
  <si>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</si>
  <si>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</si>
  <si>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</si>
  <si>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</si>
  <si>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</si>
  <si>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</si>
  <si>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</si>
  <si>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</si>
  <si>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</si>
  <si>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</si>
  <si>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</si>
  <si>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</si>
  <si>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</si>
  <si>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</si>
  <si>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</si>
  <si>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</si>
  <si>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</si>
  <si>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</si>
  <si>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</si>
  <si>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</si>
  <si>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</si>
  <si>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</si>
  <si>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</si>
  <si>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</si>
  <si>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</si>
  <si>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</si>
  <si>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</si>
  <si>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</si>
  <si>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</si>
  <si>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</si>
  <si>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</si>
  <si>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</si>
  <si>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</si>
  <si>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</si>
  <si>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</si>
  <si>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</si>
  <si>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</si>
  <si>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</si>
  <si>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</si>
  <si>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</si>
  <si>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</si>
  <si>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</si>
  <si>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</si>
  <si>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</si>
  <si>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</si>
  <si>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</si>
  <si>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</si>
  <si>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</si>
  <si>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</si>
  <si>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</si>
  <si>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</si>
  <si>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</si>
  <si>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</si>
  <si>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</si>
  <si>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</si>
  <si>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</si>
  <si>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</si>
  <si>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</si>
  <si>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</si>
  <si>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</si>
  <si>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</si>
  <si>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</si>
  <si>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</si>
  <si>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</si>
  <si>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</si>
  <si>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</si>
  <si>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</si>
  <si>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</si>
  <si>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</si>
  <si>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</si>
  <si>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</si>
  <si>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</si>
  <si>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</si>
  <si>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</si>
  <si>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</si>
  <si>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</si>
  <si>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</si>
  <si>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</si>
  <si>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</si>
  <si>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</si>
  <si>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</si>
  <si>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</si>
  <si>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</si>
  <si>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</si>
  <si>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</si>
  <si>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</si>
  <si>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</si>
  <si>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</si>
  <si>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</si>
  <si>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</si>
  <si>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</si>
  <si>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</si>
  <si>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</si>
  <si>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</si>
  <si>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</si>
  <si>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</si>
  <si>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</si>
  <si>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</si>
  <si>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</si>
  <si>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</si>
  <si>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</si>
  <si>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</si>
  <si>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</si>
  <si>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</si>
  <si>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</si>
  <si>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</si>
  <si>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</si>
  <si>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</si>
  <si>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</si>
  <si>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</si>
  <si>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</si>
  <si>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</si>
  <si>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</si>
  <si>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</si>
  <si>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</si>
  <si>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</si>
  <si>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</si>
  <si>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</si>
  <si>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</si>
  <si>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</si>
  <si>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</si>
  <si>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</si>
  <si>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</si>
  <si>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</si>
  <si>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</si>
  <si>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</si>
  <si>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</si>
  <si>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</si>
  <si>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</si>
  <si>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</si>
  <si>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</si>
  <si>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</si>
  <si>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</si>
  <si>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</si>
  <si>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</si>
  <si>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</si>
  <si>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</si>
  <si>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</si>
  <si>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</si>
  <si>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</si>
  <si>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</si>
  <si>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</si>
  <si>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</si>
  <si>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</si>
  <si>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</si>
  <si>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</si>
  <si>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</si>
  <si>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</si>
  <si>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</si>
  <si>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</si>
  <si>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</si>
  <si>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</si>
  <si>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</si>
  <si>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</si>
  <si>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</si>
  <si>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</si>
  <si>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</si>
  <si>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</si>
  <si>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</si>
  <si>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</si>
  <si>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</si>
  <si>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</si>
  <si>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</si>
  <si>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</si>
  <si>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</si>
  <si>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</si>
  <si>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</si>
  <si>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</si>
  <si>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</si>
  <si>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</si>
  <si>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</si>
  <si>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</si>
  <si>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</si>
  <si>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</si>
  <si>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</si>
  <si>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</si>
  <si>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</si>
  <si>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</si>
  <si>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</si>
  <si>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</si>
  <si>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</si>
  <si>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</si>
  <si>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</si>
  <si>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</si>
  <si>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</si>
  <si>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</si>
  <si>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</si>
  <si>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</si>
  <si>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</si>
  <si>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</si>
  <si>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</si>
  <si>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</si>
  <si>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</si>
  <si>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</si>
  <si>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</si>
  <si>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</si>
  <si>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</si>
  <si>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</si>
  <si>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</si>
  <si>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</si>
  <si>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</si>
  <si>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</si>
  <si>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</si>
  <si>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</si>
  <si>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</si>
  <si>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</si>
  <si>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</si>
  <si>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</si>
  <si>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</si>
  <si>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</si>
  <si>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</si>
  <si>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</si>
  <si>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</si>
  <si>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</si>
  <si>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</si>
  <si>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</si>
  <si>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</si>
  <si>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</si>
  <si>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</si>
  <si>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</si>
  <si>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</si>
  <si>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</si>
  <si>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</si>
  <si>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</si>
  <si>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</si>
  <si>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</si>
  <si>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</si>
  <si>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</si>
  <si>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</si>
  <si>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</si>
  <si>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</si>
  <si>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</si>
  <si>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</si>
  <si>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</si>
  <si>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</si>
  <si>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</si>
  <si>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</si>
  <si>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</si>
  <si>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</si>
  <si>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</si>
  <si>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</si>
  <si>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</si>
  <si>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</si>
  <si>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</si>
  <si>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</si>
  <si>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</si>
  <si>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</si>
  <si>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</si>
  <si>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</si>
  <si>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</si>
  <si>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</si>
  <si>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</si>
  <si>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</si>
  <si>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</si>
  <si>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</si>
  <si>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</si>
  <si>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</si>
  <si>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</si>
  <si>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</si>
  <si>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</si>
  <si>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</si>
  <si>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</si>
  <si>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</si>
  <si>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</si>
  <si>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</si>
  <si>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</si>
  <si>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</si>
  <si>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</si>
  <si>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</si>
  <si>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</si>
  <si>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</si>
  <si>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</si>
  <si>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</si>
  <si>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</si>
  <si>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</si>
  <si>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</si>
  <si>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</si>
  <si>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</si>
  <si>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</si>
  <si>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</si>
  <si>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</si>
  <si>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</si>
  <si>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</si>
  <si>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</si>
  <si>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</si>
  <si>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</si>
  <si>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</si>
  <si>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</si>
  <si>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</si>
  <si>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</si>
  <si>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</si>
  <si>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</si>
  <si>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</si>
  <si>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</si>
  <si>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</si>
  <si>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</si>
  <si>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</si>
  <si>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</si>
  <si>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</si>
  <si>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</si>
  <si>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</si>
  <si>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</si>
  <si>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</si>
  <si>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</si>
  <si>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</si>
  <si>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</si>
  <si>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</si>
  <si>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</si>
  <si>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</si>
  <si>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</si>
  <si>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</si>
  <si>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</si>
  <si>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</si>
  <si>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</si>
  <si>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</si>
  <si>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</si>
  <si>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</si>
  <si>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</si>
  <si>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</si>
  <si>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</si>
  <si>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</si>
  <si>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</si>
  <si>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</si>
  <si>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</si>
  <si>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</si>
  <si>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</si>
  <si>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</si>
  <si>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</si>
  <si>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</si>
  <si>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</si>
  <si>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</si>
  <si>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</si>
  <si>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</si>
  <si>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</si>
  <si>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</si>
  <si>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</si>
  <si>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</si>
  <si>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</si>
  <si>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</si>
  <si>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</si>
  <si>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</si>
  <si>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</si>
  <si>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</si>
  <si>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</si>
  <si>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</si>
  <si>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</si>
  <si>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</si>
  <si>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</si>
  <si>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</si>
  <si>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</si>
  <si>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</si>
  <si>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</si>
  <si>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</si>
  <si>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</si>
  <si>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</si>
  <si>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</si>
  <si>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</si>
  <si>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</si>
  <si>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</si>
  <si>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</si>
  <si>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</si>
  <si>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</si>
  <si>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</si>
  <si>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</si>
  <si>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</si>
  <si>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</si>
  <si>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</si>
  <si>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</si>
  <si>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</si>
  <si>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</si>
  <si>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</si>
  <si>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</si>
  <si>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</si>
  <si>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</si>
  <si>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</si>
  <si>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</si>
  <si>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</si>
  <si>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</si>
  <si>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</si>
  <si>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</si>
  <si>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</si>
  <si>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</si>
  <si>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</si>
  <si>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</si>
  <si>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</si>
  <si>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</si>
  <si>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</si>
  <si>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</si>
  <si>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</si>
  <si>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</si>
  <si>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</si>
  <si>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</si>
  <si>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</si>
  <si>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</si>
  <si>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</si>
  <si>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</si>
  <si>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</si>
  <si>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</si>
  <si>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</si>
  <si>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</si>
  <si>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</si>
  <si>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</si>
  <si>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</si>
  <si>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</si>
  <si>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</si>
  <si>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</si>
  <si>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</si>
  <si>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</si>
  <si>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</si>
  <si>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</si>
  <si>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</si>
  <si>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</si>
  <si>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</si>
  <si>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</si>
  <si>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</si>
  <si>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</si>
  <si>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</si>
  <si>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</si>
  <si>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</si>
  <si>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</si>
  <si>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</si>
  <si>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</si>
  <si>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</si>
  <si>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</si>
  <si>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</si>
  <si>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</si>
  <si>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</si>
  <si>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</si>
  <si>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</si>
  <si>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</si>
  <si>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</si>
  <si>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</si>
  <si>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</si>
  <si>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</si>
  <si>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</si>
  <si>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</si>
  <si>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</si>
  <si>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</si>
  <si>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</si>
  <si>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</si>
  <si>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</si>
  <si>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</si>
  <si>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</si>
  <si>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</si>
  <si>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</si>
  <si>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</si>
  <si>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</si>
  <si>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</si>
  <si>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</si>
  <si>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</si>
  <si>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</si>
  <si>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</si>
  <si>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</si>
  <si>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</si>
  <si>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</si>
  <si>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</si>
  <si>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</si>
  <si>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</si>
  <si>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</si>
  <si>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</si>
  <si>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</si>
  <si>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</si>
  <si>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</si>
  <si>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</si>
  <si>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</si>
  <si>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</si>
  <si>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</si>
  <si>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</si>
  <si>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</si>
  <si>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</si>
  <si>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</si>
  <si>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</si>
  <si>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</si>
  <si>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</si>
  <si>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</si>
  <si>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</si>
  <si>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</si>
  <si>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</si>
  <si>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</si>
  <si>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</si>
  <si>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</si>
  <si>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</si>
  <si>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</si>
  <si>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</si>
  <si>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</si>
  <si>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</si>
  <si>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</si>
  <si>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</si>
  <si>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</si>
  <si>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</si>
  <si>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</si>
  <si>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</si>
  <si>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</si>
  <si>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</si>
  <si>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</si>
  <si>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</si>
  <si>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</si>
  <si>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</si>
  <si>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</si>
  <si>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</si>
  <si>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</si>
  <si>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</si>
  <si>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</si>
  <si>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</si>
  <si>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</si>
  <si>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</si>
  <si>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</si>
  <si>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</si>
  <si>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</si>
  <si>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</si>
  <si>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</si>
  <si>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</si>
  <si>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</si>
  <si>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</si>
  <si>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</si>
  <si>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</si>
  <si>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</si>
  <si>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</si>
  <si>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</si>
  <si>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</si>
  <si>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</si>
  <si>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</si>
  <si>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</si>
  <si>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</si>
  <si>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</si>
  <si>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</si>
  <si>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</si>
  <si>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</si>
  <si>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</si>
  <si>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</si>
  <si>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</si>
  <si>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</si>
  <si>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</si>
  <si>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</si>
  <si>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</si>
  <si>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</si>
  <si>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</si>
  <si>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</si>
  <si>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</si>
  <si>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</si>
  <si>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</si>
  <si>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</si>
  <si>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</si>
  <si>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</si>
  <si>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</si>
  <si>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</si>
  <si>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</si>
  <si>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</si>
  <si>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</si>
  <si>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</si>
  <si>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</si>
  <si>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</si>
  <si>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</si>
  <si>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</si>
  <si>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</si>
  <si>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</si>
  <si>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</si>
  <si>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</si>
  <si>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</si>
  <si>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</si>
  <si>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</si>
  <si>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</si>
  <si>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</si>
  <si>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</si>
  <si>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</si>
  <si>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</si>
  <si>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</si>
  <si>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</si>
  <si>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</si>
  <si>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</si>
  <si>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</si>
  <si>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</si>
  <si>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</si>
  <si>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</si>
  <si>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</si>
  <si>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</si>
  <si>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</si>
  <si>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</si>
  <si>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</si>
  <si>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</si>
  <si>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</si>
  <si>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</si>
  <si>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</si>
  <si>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</si>
  <si>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</si>
  <si>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</si>
  <si>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</si>
  <si>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</si>
  <si>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</si>
  <si>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</si>
  <si>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</si>
  <si>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</si>
  <si>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</si>
  <si>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</si>
  <si>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</si>
  <si>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</si>
  <si>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</si>
  <si>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</si>
  <si>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</si>
  <si>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</si>
  <si>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</si>
  <si>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</si>
  <si>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</si>
  <si>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</si>
  <si>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</si>
  <si>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</si>
  <si>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</si>
  <si>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</si>
  <si>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</si>
  <si>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</si>
  <si>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</si>
  <si>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</si>
  <si>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</si>
  <si>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</si>
  <si>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</si>
  <si>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</si>
  <si>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</si>
  <si>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</si>
  <si>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</si>
  <si>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</si>
  <si>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</si>
  <si>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</si>
  <si>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</si>
  <si>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</si>
  <si>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</si>
  <si>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</si>
  <si>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</si>
  <si>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</si>
  <si>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</si>
  <si>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</si>
  <si>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</si>
  <si>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</si>
  <si>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</si>
  <si>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</si>
  <si>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</si>
  <si>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</si>
  <si>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</si>
  <si>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</si>
  <si>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</si>
  <si>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</si>
  <si>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</si>
  <si>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</si>
  <si>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</si>
  <si>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</si>
  <si>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</si>
  <si>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</si>
  <si>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</si>
  <si>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</si>
  <si>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</si>
  <si>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</si>
  <si>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</si>
  <si>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</si>
  <si>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</si>
  <si>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</si>
  <si>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</si>
  <si>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</si>
  <si>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</si>
  <si>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</si>
  <si>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</si>
  <si>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</si>
  <si>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</si>
  <si>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</si>
  <si>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</si>
  <si>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</si>
  <si>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</si>
  <si>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</si>
  <si>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</si>
  <si>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</si>
  <si>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</si>
  <si>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</si>
  <si>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</si>
  <si>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</si>
  <si>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</si>
  <si>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</si>
  <si>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</si>
  <si>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</si>
  <si>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</si>
  <si>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</si>
  <si>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</si>
  <si>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</si>
  <si>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</si>
  <si>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</si>
  <si>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</si>
  <si>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</si>
  <si>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</si>
  <si>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</si>
  <si>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</si>
  <si>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</si>
  <si>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</si>
  <si>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</si>
  <si>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</si>
  <si>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</si>
  <si>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</si>
  <si>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</si>
  <si>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</si>
  <si>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</si>
  <si>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</si>
  <si>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</si>
  <si>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</si>
  <si>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</si>
  <si>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</si>
  <si>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</si>
  <si>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</si>
  <si>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</si>
  <si>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</si>
  <si>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</si>
  <si>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</si>
  <si>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</si>
  <si>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</si>
  <si>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</si>
  <si>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</si>
  <si>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</si>
  <si>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</si>
  <si>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</si>
  <si>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</si>
  <si>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</si>
  <si>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</si>
  <si>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</si>
  <si>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</si>
  <si>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</si>
  <si>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</si>
  <si>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</si>
  <si>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</si>
  <si>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</si>
  <si>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</si>
  <si>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</si>
  <si>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</si>
  <si>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</si>
  <si>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</si>
  <si>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</si>
  <si>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</si>
  <si>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</si>
  <si>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</si>
  <si>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</si>
  <si>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</si>
  <si>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</si>
  <si>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</si>
  <si>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</si>
  <si>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</si>
  <si>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</si>
  <si>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</si>
  <si>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</si>
  <si>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</si>
  <si>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</si>
  <si>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</si>
  <si>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</si>
  <si>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</si>
  <si>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</si>
  <si>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</si>
  <si>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</si>
  <si>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</si>
  <si>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</si>
  <si>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</si>
  <si>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</si>
  <si>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</si>
  <si>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</si>
  <si>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</si>
  <si>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</si>
  <si>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</si>
  <si>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</si>
  <si>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</si>
  <si>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</si>
  <si>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</si>
  <si>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</si>
  <si>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</si>
  <si>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</si>
  <si>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</si>
  <si>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</si>
  <si>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</si>
  <si>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</si>
  <si>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</si>
  <si>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</si>
  <si>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</si>
  <si>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</si>
  <si>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</si>
  <si>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</si>
  <si>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</si>
  <si>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</si>
  <si>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</si>
  <si>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</si>
  <si>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</si>
  <si>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</si>
  <si>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</si>
  <si>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</si>
  <si>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</si>
  <si>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</si>
  <si>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</si>
  <si>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</si>
  <si>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</si>
  <si>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</si>
  <si>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</si>
  <si>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</si>
  <si>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</si>
  <si>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</si>
  <si>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</si>
  <si>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</si>
  <si>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</si>
  <si>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</si>
  <si>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</si>
  <si>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</si>
  <si>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</si>
  <si>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</si>
  <si>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</si>
  <si>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</si>
  <si>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</si>
  <si>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</si>
  <si>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</si>
  <si>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</si>
  <si>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</si>
  <si>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</si>
  <si>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</si>
  <si>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</si>
  <si>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</si>
  <si>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</si>
  <si>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</si>
  <si>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</si>
  <si>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</si>
  <si>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</si>
  <si>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</si>
  <si>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</si>
  <si>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</si>
  <si>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</si>
  <si>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</si>
  <si>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</si>
  <si>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</si>
  <si>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</si>
  <si>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</si>
  <si>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</si>
  <si>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</si>
  <si>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</si>
  <si>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</si>
  <si>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</si>
  <si>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</si>
  <si>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</si>
  <si>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</si>
  <si>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</si>
  <si>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</si>
  <si>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</si>
  <si>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</si>
  <si>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</si>
  <si>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</si>
  <si>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</si>
  <si>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</si>
  <si>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</si>
  <si>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</si>
  <si>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</si>
  <si>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</si>
  <si>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</si>
  <si>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</si>
  <si>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</si>
  <si>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</si>
  <si>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</si>
  <si>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</si>
  <si>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</si>
  <si>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</si>
  <si>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</si>
  <si>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</si>
  <si>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</si>
  <si>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</si>
  <si>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</si>
  <si>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</si>
  <si>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</si>
  <si>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</si>
  <si>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</si>
  <si>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</si>
  <si>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</si>
  <si>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</si>
  <si>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</si>
  <si>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</si>
  <si>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</si>
  <si>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</si>
  <si>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</si>
  <si>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</si>
  <si>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</si>
  <si>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</si>
  <si>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</si>
  <si>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</si>
  <si>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</si>
  <si>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</si>
  <si>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</si>
  <si>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</si>
  <si>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</si>
  <si>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</si>
  <si>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</si>
  <si>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</si>
  <si>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</si>
  <si>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</si>
  <si>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</si>
  <si>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</si>
  <si>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</si>
  <si>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</si>
  <si>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</si>
  <si>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</si>
  <si>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</si>
  <si>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</si>
  <si>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</si>
  <si>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</si>
  <si>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</si>
  <si>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</si>
  <si>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</si>
  <si>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</si>
  <si>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</si>
  <si>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</si>
  <si>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</si>
  <si>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</si>
  <si>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</si>
  <si>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</si>
  <si>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</si>
  <si>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</si>
  <si>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</si>
  <si>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</si>
  <si>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</si>
  <si>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</si>
  <si>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</si>
  <si>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</si>
  <si>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</si>
  <si>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</si>
  <si>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</si>
  <si>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</si>
  <si>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</si>
  <si>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</si>
  <si>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</si>
  <si>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</si>
  <si>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</si>
  <si>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</si>
  <si>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</si>
  <si>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</si>
  <si>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</si>
  <si>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</si>
  <si>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</si>
  <si>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</si>
  <si>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</si>
  <si>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</si>
  <si>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</si>
  <si>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</si>
  <si>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</si>
  <si>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</si>
  <si>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</si>
  <si>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</si>
  <si>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</si>
  <si>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</si>
  <si>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</si>
  <si>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</si>
  <si>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</si>
  <si>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</si>
  <si>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</si>
  <si>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</si>
  <si>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</si>
  <si>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</si>
  <si>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</si>
  <si>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</si>
  <si>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</si>
  <si>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</si>
  <si>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</si>
  <si>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</si>
  <si>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</si>
  <si>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</si>
  <si>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</si>
  <si>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</si>
  <si>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</si>
  <si>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</si>
  <si>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</si>
  <si>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</si>
  <si>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</si>
  <si>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</si>
  <si>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</si>
  <si>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</si>
  <si>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</si>
  <si>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</si>
  <si>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</si>
  <si>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</si>
  <si>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</si>
  <si>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</si>
  <si>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</si>
  <si>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</si>
  <si>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</si>
  <si>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</si>
  <si>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</si>
  <si>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</si>
  <si>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</si>
  <si>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</si>
  <si>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</si>
  <si>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</si>
  <si>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</si>
  <si>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</si>
  <si>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</si>
  <si>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</si>
  <si>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</si>
  <si>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</si>
  <si>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</si>
  <si>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</si>
  <si>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</si>
  <si>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</si>
  <si>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</si>
  <si>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</si>
  <si>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</si>
  <si>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</si>
  <si>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</si>
  <si>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</si>
  <si>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</si>
  <si>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</si>
  <si>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</si>
  <si>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</si>
  <si>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</si>
  <si>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</si>
  <si>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</si>
  <si>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</si>
  <si>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</si>
  <si>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</si>
  <si>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</si>
  <si>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</si>
  <si>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</si>
  <si>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</si>
  <si>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</si>
  <si>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</si>
  <si>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</si>
  <si>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</si>
  <si>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</si>
  <si>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</si>
  <si>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</si>
  <si>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</si>
  <si>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</si>
  <si>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</si>
  <si>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</si>
  <si>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</si>
  <si>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</si>
  <si>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</si>
  <si>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</si>
  <si>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</si>
  <si>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</si>
  <si>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</si>
  <si>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</si>
  <si>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</si>
  <si>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</si>
  <si>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</si>
  <si>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</si>
  <si>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</si>
  <si>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</si>
  <si>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</si>
  <si>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</si>
  <si>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</si>
  <si>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</si>
  <si>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</si>
  <si>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</si>
  <si>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</si>
  <si>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</si>
  <si>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</si>
  <si>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</si>
  <si>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</si>
  <si>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</si>
  <si>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</si>
  <si>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</si>
  <si>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</si>
  <si>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</si>
  <si>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</si>
  <si>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</si>
  <si>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</si>
  <si>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</si>
  <si>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</si>
  <si>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</si>
  <si>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</si>
  <si>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</si>
  <si>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</si>
  <si>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</si>
  <si>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</si>
  <si>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</si>
  <si>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</si>
  <si>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</si>
  <si>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</si>
  <si>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</si>
  <si>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</si>
  <si>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</si>
  <si>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</si>
  <si>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</si>
  <si>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</si>
  <si>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</si>
  <si>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</si>
  <si>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</si>
  <si>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</si>
  <si>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</si>
  <si>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</si>
  <si>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</si>
  <si>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</si>
  <si>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</si>
  <si>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</si>
  <si>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</si>
  <si>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</si>
  <si>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</si>
  <si>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</si>
  <si>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</si>
  <si>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</si>
  <si>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</si>
  <si>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</si>
  <si>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</si>
  <si>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</si>
  <si>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</si>
  <si>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</si>
  <si>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</si>
  <si>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</si>
  <si>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</si>
  <si>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</si>
  <si>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</si>
  <si>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</si>
  <si>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</si>
  <si>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</si>
  <si>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</si>
  <si>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</si>
  <si>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</si>
  <si>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</si>
  <si>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</si>
  <si>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</si>
  <si>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</si>
  <si>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</si>
  <si>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</si>
  <si>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</si>
  <si>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</si>
  <si>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</si>
  <si>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</si>
  <si>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</si>
  <si>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</si>
  <si>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</si>
  <si>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</si>
  <si>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</si>
  <si>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</si>
  <si>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</si>
  <si>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</si>
  <si>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Putnam</t>
  </si>
  <si>
    <t>400 E. Silverspoon Avenue</t>
  </si>
  <si>
    <t>Granville</t>
  </si>
  <si>
    <t>carlsonc@pcschools535.org</t>
  </si>
  <si>
    <t>Carl Carlson</t>
  </si>
  <si>
    <t>Thomas R. Peffer, CPA</t>
  </si>
  <si>
    <t>tpeffer@gorenzcpa.com</t>
  </si>
  <si>
    <t>General Obligation School Bonds 2016</t>
  </si>
  <si>
    <t>x</t>
  </si>
  <si>
    <t>ROE MPW</t>
  </si>
  <si>
    <t>Alternatice RSSP; Area Career Center</t>
  </si>
  <si>
    <t>Health, Dental, Life Insurance Consortium</t>
  </si>
  <si>
    <t>Ameren Energy Marketing</t>
  </si>
  <si>
    <t>Food Co-op LaSalle ROE</t>
  </si>
  <si>
    <t>LEASE, SRAVTE</t>
  </si>
  <si>
    <t>IASA Job Bank</t>
  </si>
  <si>
    <t>ROE, IASB, IPA, Area Districts, LEASE</t>
  </si>
  <si>
    <t>LEASE</t>
  </si>
  <si>
    <t>IVCC</t>
  </si>
  <si>
    <t>Johannes Bus Services</t>
  </si>
  <si>
    <t>SRAVTE</t>
  </si>
  <si>
    <t>PC Sheriffs Dept, PCES, PC Health Dept.</t>
  </si>
  <si>
    <t>40-2550-300</t>
  </si>
  <si>
    <t>10-2560-400</t>
  </si>
  <si>
    <t>Kohl Wholesale</t>
  </si>
  <si>
    <t>Transportation-Pupil Transportation-Purchase Service</t>
  </si>
  <si>
    <t>NONE</t>
  </si>
  <si>
    <t>Page 10, Line 72 - Milk Sales</t>
  </si>
  <si>
    <t>Page 10, Line 78 - Play Admissions</t>
  </si>
  <si>
    <t>Page 10, Line 81 - PE Resale $5,307, Miscellaneous Fees $200</t>
  </si>
  <si>
    <t>Page 11, Line 107 - Educational Fund - Chromebook Insurance $9,599, iPad Sale $772, E-Rate Refund $2,034, Impact Incentive $4,500,</t>
  </si>
  <si>
    <t xml:space="preserve">                                                                              Refunds and Reimbursements $25,387</t>
  </si>
  <si>
    <t xml:space="preserve">                                      Operations and Maintenance Fund - Refunds and Reimbursements</t>
  </si>
  <si>
    <t xml:space="preserve">                                      Transportation Fund - Refunds and Reimbursements</t>
  </si>
  <si>
    <t>Page 12, Line 168 - PSAT Grant $1,442, SOS Library Grant $750</t>
  </si>
  <si>
    <t>Page 13, Line 265 - STEP Grant</t>
  </si>
  <si>
    <t>Page 15, Line 41 - Mediacom/Network Systems</t>
  </si>
  <si>
    <t>Page 16, Line 83 - LaSalle-Peru Area Career Center Tuition</t>
  </si>
  <si>
    <t>Page 18, Line 171 - Bond Service Charge</t>
  </si>
  <si>
    <t>Educational-Food Services-Supplies</t>
  </si>
  <si>
    <t>Hillman Pediatric Therapy</t>
  </si>
  <si>
    <t>10-1000-300</t>
  </si>
  <si>
    <t>Lighted Way Association</t>
  </si>
  <si>
    <t>Northern Illinois Academy</t>
  </si>
  <si>
    <t>Prairie Farms</t>
  </si>
  <si>
    <t>The Baby Fold</t>
  </si>
  <si>
    <t>Liberty Mutual Insurance</t>
  </si>
  <si>
    <t>80-2300-300</t>
  </si>
  <si>
    <t>Tort-Support Services- General Admin.-Purchase Service</t>
  </si>
  <si>
    <t>Educational-Instructional - Purchase Service</t>
  </si>
  <si>
    <t>Educational-Istructional - Other</t>
  </si>
  <si>
    <t>Educational-Instructional - Other</t>
  </si>
  <si>
    <t>GORENZ AND ASSOCIATES, LTD.</t>
  </si>
  <si>
    <t>See PDF version</t>
  </si>
  <si>
    <t>Putnam County CUSD 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</si>
</sst>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horizontal="left" vertical="top"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1021773</xdr:colOff>
          <xdr:row>1</xdr:row>
          <xdr:rowOff>8659</xdr:rowOff>
        </xdr:from>
        <xdr:to>
          <xdr:col>1</xdr:col>
          <xdr:colOff>1932709</xdr:colOff>
          <xdr:row>5</xdr:row>
          <xdr:rowOff>46759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2070</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2070</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35078535026</v>
      </c>
      <c r="B13" s="2019"/>
      <c r="C13" s="2019"/>
      <c r="D13" s="2019"/>
      <c r="E13" s="2019"/>
      <c r="F13" s="2019"/>
      <c r="G13" s="2019"/>
      <c r="H13" s="2020"/>
      <c r="I13" s="31"/>
      <c r="J13" s="30"/>
      <c r="K13" s="28"/>
      <c r="L13" s="30"/>
      <c r="M13" s="30"/>
      <c r="N13" s="30"/>
      <c r="O13" s="30"/>
      <c r="P13" s="30"/>
      <c r="Q13" s="30"/>
      <c r="R13" s="30"/>
      <c r="S13" s="30"/>
      <c r="T13" s="2023" t="s">
        <v>2072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2073</v>
      </c>
      <c r="B15" s="2021"/>
      <c r="C15" s="2021"/>
      <c r="D15" s="2021"/>
      <c r="E15" s="2021"/>
      <c r="F15" s="2021"/>
      <c r="G15" s="2021"/>
      <c r="H15" s="2022"/>
      <c r="T15" s="2027" t="s">
        <v>2078</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2127</v>
      </c>
      <c r="B17" s="1978"/>
      <c r="C17" s="1978"/>
      <c r="D17" s="1978"/>
      <c r="E17" s="1978"/>
      <c r="F17" s="1978"/>
      <c r="G17" s="1978"/>
      <c r="H17" s="2003"/>
      <c r="T17" s="2034" t="s">
        <v>2064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2074</v>
      </c>
      <c r="B19" s="1963"/>
      <c r="C19" s="1963"/>
      <c r="D19" s="1963"/>
      <c r="E19" s="1963"/>
      <c r="F19" s="1963"/>
      <c r="G19" s="1963"/>
      <c r="H19" s="1943"/>
      <c r="I19" s="30"/>
      <c r="J19" s="99"/>
      <c r="K19" s="40"/>
      <c r="L19" s="38"/>
      <c r="M19" s="112" t="s">
        <v>315</v>
      </c>
      <c r="P19" s="27"/>
      <c r="Q19" s="27"/>
      <c r="R19" s="27"/>
      <c r="S19" s="31"/>
      <c r="T19" s="2017" t="s">
        <v>2065</v>
      </c>
      <c r="U19" s="1942"/>
      <c r="V19" s="1942"/>
      <c r="W19" s="1943"/>
      <c r="X19" s="2032" t="s">
        <v>2066</v>
      </c>
      <c r="Y19" s="2033"/>
      <c r="Z19" s="2030">
        <v>61614</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2075</v>
      </c>
      <c r="B21" s="1942"/>
      <c r="C21" s="1942"/>
      <c r="D21" s="1942"/>
      <c r="E21" s="1942"/>
      <c r="F21" s="1942"/>
      <c r="G21" s="1942"/>
      <c r="H21" s="1943"/>
      <c r="I21" s="1997" t="s">
        <v>678</v>
      </c>
      <c r="J21" s="1992"/>
      <c r="K21" s="1992"/>
      <c r="L21" s="1992"/>
      <c r="M21" s="1992"/>
      <c r="N21" s="1992"/>
      <c r="O21" s="1992"/>
      <c r="P21" s="1992"/>
      <c r="Q21" s="1992"/>
      <c r="R21" s="1992"/>
      <c r="S21" s="1998"/>
      <c r="T21" s="2041" t="s">
        <v>2067</v>
      </c>
      <c r="U21" s="2042"/>
      <c r="V21" s="2042"/>
      <c r="W21" s="2042"/>
      <c r="X21" s="2047" t="s">
        <v>2068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2076</v>
      </c>
      <c r="B23" s="1995"/>
      <c r="C23" s="1995"/>
      <c r="D23" s="1995"/>
      <c r="E23" s="1995"/>
      <c r="F23" s="1995"/>
      <c r="G23" s="1995"/>
      <c r="H23" s="1996"/>
      <c r="T23" s="1977" t="s">
        <v>2069</v>
      </c>
      <c r="U23" s="2040"/>
      <c r="V23" s="2040"/>
      <c r="W23" s="2040"/>
      <c r="X23" s="2044">
        <v>44501</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61326</v>
      </c>
      <c r="B25" s="1942"/>
      <c r="C25" s="1942"/>
      <c r="D25" s="1942"/>
      <c r="E25" s="1942"/>
      <c r="F25" s="1942"/>
      <c r="G25" s="1942"/>
      <c r="H25" s="1943"/>
      <c r="I25" s="113"/>
      <c r="J25" s="1966"/>
      <c r="K25" s="1966"/>
      <c r="L25" s="1966"/>
      <c r="M25" s="1966"/>
      <c r="N25" s="1966"/>
      <c r="O25" s="1966"/>
      <c r="P25" s="1966"/>
      <c r="Q25" s="1966"/>
      <c r="R25" s="1966"/>
      <c r="S25" s="1967"/>
      <c r="T25" s="2037" t="s">
        <v>2079</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2077</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2076</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v>8158822800</v>
      </c>
      <c r="B42" s="1961"/>
      <c r="C42" s="1962"/>
      <c r="D42" s="1960">
        <v>8158822802</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3" t="s">
        <v>1802</v>
      </c>
      <c r="B2" s="1525" t="s">
        <v>1951</v>
      </c>
      <c r="C2" s="711" t="s">
        <v>1952</v>
      </c>
      <c r="D2" s="711" t="s">
        <v>1953</v>
      </c>
      <c r="E2" s="711" t="s">
        <v>1954</v>
      </c>
      <c r="F2" s="711" t="s">
        <v>1955</v>
      </c>
    </row>
    <row r="3" spans="1:6" ht="12" customHeight="1" x14ac:dyDescent="0.2">
      <c r="A3" s="2184"/>
      <c r="B3" s="1522"/>
      <c r="C3" s="1523"/>
      <c r="D3" s="1524" t="s">
        <v>256</v>
      </c>
      <c r="E3" s="1523"/>
      <c r="F3" s="1524" t="s">
        <v>257</v>
      </c>
    </row>
    <row r="4" spans="1:6" ht="13.7" customHeight="1" x14ac:dyDescent="0.2">
      <c r="A4" s="712" t="s">
        <v>1155</v>
      </c>
      <c r="B4" s="1746">
        <f>'Revenues 9-14'!C5</f>
        <v>3474522</v>
      </c>
      <c r="C4" s="1521"/>
      <c r="D4" s="1749">
        <f>B4-C4</f>
        <v>3474522</v>
      </c>
      <c r="E4" s="1521">
        <v>3659161</v>
      </c>
      <c r="F4" s="1749">
        <f>E4-C4</f>
        <v>3659161</v>
      </c>
    </row>
    <row r="5" spans="1:6" ht="13.7" customHeight="1" x14ac:dyDescent="0.2">
      <c r="A5" s="712" t="s">
        <v>870</v>
      </c>
      <c r="B5" s="1747">
        <f>'Revenues 9-14'!D5</f>
        <v>638699</v>
      </c>
      <c r="C5" s="582"/>
      <c r="D5" s="1750">
        <f t="shared" ref="D5:D18" si="0">B5-C5</f>
        <v>638699</v>
      </c>
      <c r="E5" s="582">
        <v>672639</v>
      </c>
      <c r="F5" s="1750">
        <f>E5-C5</f>
        <v>672639</v>
      </c>
    </row>
    <row r="6" spans="1:6" ht="13.7" customHeight="1" x14ac:dyDescent="0.2">
      <c r="A6" s="712" t="s">
        <v>411</v>
      </c>
      <c r="B6" s="1747">
        <f>'Revenues 9-14'!E5</f>
        <v>0</v>
      </c>
      <c r="C6" s="582"/>
      <c r="D6" s="1750">
        <f t="shared" si="0"/>
        <v>0</v>
      </c>
      <c r="E6" s="582">
        <v>0</v>
      </c>
      <c r="F6" s="1750">
        <f t="shared" ref="F6:F18" si="1">E6-C6</f>
        <v>0</v>
      </c>
    </row>
    <row r="7" spans="1:6" ht="13.7" customHeight="1" x14ac:dyDescent="0.2">
      <c r="A7" s="712" t="s">
        <v>155</v>
      </c>
      <c r="B7" s="1747">
        <f>'Revenues 9-14'!F5</f>
        <v>255480</v>
      </c>
      <c r="C7" s="582"/>
      <c r="D7" s="1750">
        <f t="shared" si="0"/>
        <v>255480</v>
      </c>
      <c r="E7" s="582">
        <v>269056</v>
      </c>
      <c r="F7" s="1750">
        <f t="shared" si="1"/>
        <v>269056</v>
      </c>
    </row>
    <row r="8" spans="1:6" ht="13.7" customHeight="1" x14ac:dyDescent="0.2">
      <c r="A8" s="712" t="s">
        <v>1179</v>
      </c>
      <c r="B8" s="1747">
        <f>'Revenues 9-14'!G5</f>
        <v>90473</v>
      </c>
      <c r="C8" s="582"/>
      <c r="D8" s="1750">
        <f t="shared" si="0"/>
        <v>90473</v>
      </c>
      <c r="E8" s="582">
        <v>100008</v>
      </c>
      <c r="F8" s="1750">
        <f t="shared" si="1"/>
        <v>100008</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63870</v>
      </c>
      <c r="C10" s="582"/>
      <c r="D10" s="1750">
        <f t="shared" si="0"/>
        <v>63870</v>
      </c>
      <c r="E10" s="582">
        <v>67264</v>
      </c>
      <c r="F10" s="1750">
        <f t="shared" si="1"/>
        <v>67264</v>
      </c>
    </row>
    <row r="11" spans="1:6" x14ac:dyDescent="0.2">
      <c r="A11" s="712" t="s">
        <v>409</v>
      </c>
      <c r="B11" s="1747">
        <f>'Revenues 9-14'!J5</f>
        <v>294962</v>
      </c>
      <c r="C11" s="582"/>
      <c r="D11" s="1750">
        <f t="shared" si="0"/>
        <v>294962</v>
      </c>
      <c r="E11" s="582">
        <v>525002</v>
      </c>
      <c r="F11" s="1750">
        <f t="shared" si="1"/>
        <v>525002</v>
      </c>
    </row>
    <row r="12" spans="1:6" ht="13.7" customHeight="1" x14ac:dyDescent="0.2">
      <c r="A12" s="712" t="s">
        <v>157</v>
      </c>
      <c r="B12" s="1747">
        <f>'Revenues 9-14'!K5</f>
        <v>63870</v>
      </c>
      <c r="C12" s="582"/>
      <c r="D12" s="1750">
        <f t="shared" si="0"/>
        <v>63870</v>
      </c>
      <c r="E12" s="582">
        <v>67264</v>
      </c>
      <c r="F12" s="1750">
        <f t="shared" si="1"/>
        <v>67264</v>
      </c>
    </row>
    <row r="13" spans="1:6" ht="13.7" customHeight="1" x14ac:dyDescent="0.2">
      <c r="A13" s="712" t="s">
        <v>936</v>
      </c>
      <c r="B13" s="1747">
        <f>SUM('Revenues 9-14'!C6:D6)</f>
        <v>63870</v>
      </c>
      <c r="C13" s="582"/>
      <c r="D13" s="1750">
        <f t="shared" si="0"/>
        <v>63870</v>
      </c>
      <c r="E13" s="582">
        <v>67264</v>
      </c>
      <c r="F13" s="1750">
        <f t="shared" si="1"/>
        <v>67264</v>
      </c>
    </row>
    <row r="14" spans="1:6" ht="13.7" customHeight="1" x14ac:dyDescent="0.2">
      <c r="A14" s="712" t="s">
        <v>410</v>
      </c>
      <c r="B14" s="1747">
        <f>SUM('Revenues 9-14'!C7:D7,'Revenues 9-14'!F7:H7)</f>
        <v>51096</v>
      </c>
      <c r="C14" s="582"/>
      <c r="D14" s="1750">
        <f t="shared" si="0"/>
        <v>51096</v>
      </c>
      <c r="E14" s="582">
        <v>53823</v>
      </c>
      <c r="F14" s="1750">
        <f t="shared" si="1"/>
        <v>53823</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137639</v>
      </c>
      <c r="C16" s="582"/>
      <c r="D16" s="1750">
        <f t="shared" si="0"/>
        <v>137639</v>
      </c>
      <c r="E16" s="582">
        <v>140000</v>
      </c>
      <c r="F16" s="1750">
        <f t="shared" si="1"/>
        <v>140000</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5134481</v>
      </c>
      <c r="C19" s="1748">
        <f>SUM(C4:C18)</f>
        <v>0</v>
      </c>
      <c r="D19" s="1748">
        <f>SUM(D4:D18)</f>
        <v>5134481</v>
      </c>
      <c r="E19" s="1748">
        <f>SUM(E4:E18)</f>
        <v>5621481</v>
      </c>
      <c r="F19" s="1748">
        <f>SUM(F4:F18)</f>
        <v>5621481</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18"/>
    </row>
    <row r="2" spans="1:7" ht="33.75" x14ac:dyDescent="0.2">
      <c r="A2" s="2210" t="s">
        <v>1802</v>
      </c>
      <c r="B2" s="2211"/>
      <c r="C2" s="1881" t="s">
        <v>1956</v>
      </c>
      <c r="D2" s="720" t="s">
        <v>1957</v>
      </c>
      <c r="E2" s="720" t="s">
        <v>1958</v>
      </c>
      <c r="F2" s="1881" t="s">
        <v>1959</v>
      </c>
    </row>
    <row r="3" spans="1:7" ht="15.75" customHeight="1" x14ac:dyDescent="0.2">
      <c r="A3" s="2212" t="s">
        <v>1114</v>
      </c>
      <c r="B3" s="2213"/>
      <c r="C3" s="2206"/>
      <c r="D3" s="2207"/>
      <c r="E3" s="2207"/>
      <c r="F3" s="2208"/>
    </row>
    <row r="4" spans="1:7" ht="12.75" customHeight="1" thickBot="1" x14ac:dyDescent="0.25">
      <c r="A4" s="2200" t="s">
        <v>630</v>
      </c>
      <c r="B4" s="2201"/>
      <c r="C4" s="578"/>
      <c r="D4" s="578"/>
      <c r="E4" s="578"/>
      <c r="F4" s="1752">
        <f>SUM(C4+D4)-E4</f>
        <v>0</v>
      </c>
    </row>
    <row r="5" spans="1:7" ht="15.75" customHeight="1" thickTop="1" x14ac:dyDescent="0.2">
      <c r="A5" s="2204" t="s">
        <v>1110</v>
      </c>
      <c r="B5" s="2199"/>
      <c r="C5" s="2193"/>
      <c r="D5" s="2194"/>
      <c r="E5" s="2194"/>
      <c r="F5" s="2195"/>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6" t="s">
        <v>631</v>
      </c>
      <c r="B15" s="2197"/>
      <c r="C15" s="1752">
        <f>SUM(C6:C14)</f>
        <v>0</v>
      </c>
      <c r="D15" s="1752">
        <f>SUM(D6:D14)</f>
        <v>0</v>
      </c>
      <c r="E15" s="1752">
        <f>SUM(E6:E14)</f>
        <v>0</v>
      </c>
      <c r="F15" s="1752">
        <f>SUM(F6:F14)</f>
        <v>0</v>
      </c>
      <c r="G15" s="549"/>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3"/>
      <c r="D17" s="582"/>
      <c r="E17" s="723"/>
      <c r="F17" s="1752">
        <f>SUM(C17+D17)-E17</f>
        <v>0</v>
      </c>
    </row>
    <row r="18" spans="1:11" ht="12.75" customHeight="1" thickTop="1" thickBot="1" x14ac:dyDescent="0.25">
      <c r="A18" s="2191" t="s">
        <v>6</v>
      </c>
      <c r="B18" s="2192"/>
      <c r="C18" s="723"/>
      <c r="D18" s="582"/>
      <c r="E18" s="723"/>
      <c r="F18" s="1752">
        <f>SUM(C18+D18)-E18</f>
        <v>0</v>
      </c>
    </row>
    <row r="19" spans="1:11" ht="12.75" customHeight="1" thickTop="1" thickBot="1" x14ac:dyDescent="0.25">
      <c r="A19" s="2191" t="s">
        <v>388</v>
      </c>
      <c r="B19" s="2192"/>
      <c r="C19" s="723"/>
      <c r="D19" s="582"/>
      <c r="E19" s="723"/>
      <c r="F19" s="1752">
        <f>SUM(C19+D19)-E19</f>
        <v>0</v>
      </c>
    </row>
    <row r="20" spans="1:11" ht="12.75" customHeight="1" thickTop="1" thickBot="1" x14ac:dyDescent="0.25">
      <c r="A20" s="2191" t="s">
        <v>448</v>
      </c>
      <c r="B20" s="2192"/>
      <c r="C20" s="723"/>
      <c r="D20" s="582"/>
      <c r="E20" s="723"/>
      <c r="F20" s="1752">
        <f>SUM(C20+D20)-E20</f>
        <v>0</v>
      </c>
    </row>
    <row r="21" spans="1:11" ht="14.25" thickTop="1" thickBot="1" x14ac:dyDescent="0.25">
      <c r="A21" s="2196" t="s">
        <v>632</v>
      </c>
      <c r="B21" s="2197"/>
      <c r="C21" s="1752">
        <f>SUM(C17:C20)</f>
        <v>0</v>
      </c>
      <c r="D21" s="1752">
        <f>SUM(D17:D20)</f>
        <v>0</v>
      </c>
      <c r="E21" s="1752">
        <f>SUM(E17:E20)</f>
        <v>0</v>
      </c>
      <c r="F21" s="1752">
        <f>SUM(F17:F20)</f>
        <v>0</v>
      </c>
      <c r="G21" s="549"/>
    </row>
    <row r="22" spans="1:11" ht="15.75" customHeight="1" thickTop="1" x14ac:dyDescent="0.2">
      <c r="A22" s="2198" t="s">
        <v>1112</v>
      </c>
      <c r="B22" s="2199"/>
      <c r="C22" s="2193"/>
      <c r="D22" s="2194"/>
      <c r="E22" s="2194"/>
      <c r="F22" s="2195"/>
    </row>
    <row r="23" spans="1:11" ht="13.5" thickBot="1" x14ac:dyDescent="0.25">
      <c r="A23" s="2200" t="s">
        <v>633</v>
      </c>
      <c r="B23" s="2201"/>
      <c r="C23" s="578"/>
      <c r="D23" s="578"/>
      <c r="E23" s="578"/>
      <c r="F23" s="1752">
        <f>SUM(C23+D23)-E23</f>
        <v>0</v>
      </c>
      <c r="G23" s="549"/>
    </row>
    <row r="24" spans="1:11" ht="15.75" customHeight="1" thickTop="1" x14ac:dyDescent="0.2">
      <c r="A24" s="2198" t="s">
        <v>1113</v>
      </c>
      <c r="B24" s="2199"/>
      <c r="C24" s="2193"/>
      <c r="D24" s="2194"/>
      <c r="E24" s="2194"/>
      <c r="F24" s="2195"/>
    </row>
    <row r="25" spans="1:11" ht="13.5" thickBot="1" x14ac:dyDescent="0.25">
      <c r="A25" s="2200" t="s">
        <v>634</v>
      </c>
      <c r="B25" s="2201"/>
      <c r="C25" s="578"/>
      <c r="D25" s="578"/>
      <c r="E25" s="578"/>
      <c r="F25" s="1752">
        <f>SUM(C25+D25)-E25</f>
        <v>0</v>
      </c>
      <c r="G25" s="549"/>
    </row>
    <row r="26" spans="1:11" ht="15.75" customHeight="1" thickTop="1" x14ac:dyDescent="0.2">
      <c r="A26" s="2204" t="s">
        <v>657</v>
      </c>
      <c r="B26" s="2199"/>
      <c r="C26" s="724"/>
      <c r="D26" s="724"/>
      <c r="E26" s="724"/>
      <c r="F26" s="725"/>
    </row>
    <row r="27" spans="1:11" ht="13.5" thickBot="1" x14ac:dyDescent="0.25">
      <c r="A27" s="2196" t="s">
        <v>1070</v>
      </c>
      <c r="B27" s="2197"/>
      <c r="C27" s="582"/>
      <c r="D27" s="582"/>
      <c r="E27" s="582"/>
      <c r="F27" s="1752">
        <f>SUM(C27+D27)-E27</f>
        <v>0</v>
      </c>
      <c r="G27" s="549"/>
    </row>
    <row r="28" spans="1:11" ht="7.5" customHeight="1" thickTop="1" x14ac:dyDescent="0.2">
      <c r="A28" s="590"/>
    </row>
    <row r="29" spans="1:11" ht="23.25" customHeight="1" x14ac:dyDescent="0.2">
      <c r="A29" s="2202" t="s">
        <v>582</v>
      </c>
      <c r="B29" s="2203"/>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2080</v>
      </c>
      <c r="B31" s="730">
        <v>42429</v>
      </c>
      <c r="C31" s="731">
        <v>500000</v>
      </c>
      <c r="D31" s="732">
        <v>1</v>
      </c>
      <c r="E31" s="731">
        <v>320000</v>
      </c>
      <c r="F31" s="731"/>
      <c r="G31" s="731"/>
      <c r="H31" s="731">
        <v>100000</v>
      </c>
      <c r="I31" s="1753">
        <f>((E31+F31)-H31)+G31</f>
        <v>220000</v>
      </c>
      <c r="J31" s="731">
        <f>I31-120219</f>
        <v>99781</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500000</v>
      </c>
      <c r="D49" s="742"/>
      <c r="E49" s="1753">
        <f t="shared" ref="E49:J49" si="2">SUM(E31:E48)</f>
        <v>320000</v>
      </c>
      <c r="F49" s="1753">
        <f t="shared" si="2"/>
        <v>0</v>
      </c>
      <c r="G49" s="1753">
        <f t="shared" si="2"/>
        <v>0</v>
      </c>
      <c r="H49" s="1753">
        <f t="shared" si="2"/>
        <v>100000</v>
      </c>
      <c r="I49" s="1753">
        <f t="shared" si="2"/>
        <v>220000</v>
      </c>
      <c r="J49" s="1753">
        <f t="shared" si="2"/>
        <v>99781</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5" t="s">
        <v>584</v>
      </c>
      <c r="C52" s="2186"/>
      <c r="D52" s="2186"/>
      <c r="E52" s="746" t="s">
        <v>845</v>
      </c>
      <c r="F52" s="2187"/>
      <c r="G52" s="2188"/>
      <c r="H52" s="733"/>
      <c r="I52" s="733"/>
      <c r="J52" s="743"/>
    </row>
    <row r="53" spans="1:11" ht="11.25" customHeight="1" x14ac:dyDescent="0.2">
      <c r="A53" s="747" t="s">
        <v>913</v>
      </c>
      <c r="B53" s="748" t="s">
        <v>951</v>
      </c>
      <c r="C53" s="743"/>
      <c r="D53" s="734"/>
      <c r="E53" s="746" t="s">
        <v>497</v>
      </c>
      <c r="F53" s="2189"/>
      <c r="G53" s="2190"/>
      <c r="H53" s="733"/>
      <c r="I53" s="733"/>
      <c r="J53" s="743"/>
    </row>
    <row r="54" spans="1:11" ht="11.25" customHeight="1" x14ac:dyDescent="0.2">
      <c r="A54" s="749" t="s">
        <v>914</v>
      </c>
      <c r="B54" s="744" t="s">
        <v>952</v>
      </c>
      <c r="C54" s="743"/>
      <c r="D54" s="734"/>
      <c r="E54" s="746" t="s">
        <v>498</v>
      </c>
      <c r="F54" s="2189"/>
      <c r="G54" s="219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27"/>
      <c r="I1" s="757"/>
      <c r="J1" s="433"/>
    </row>
    <row r="2" spans="1:11" ht="26.25" x14ac:dyDescent="0.2">
      <c r="A2" s="2233" t="s">
        <v>1677</v>
      </c>
      <c r="B2" s="2234"/>
      <c r="C2" s="2234"/>
      <c r="D2" s="2234"/>
      <c r="E2" s="2235"/>
      <c r="F2" s="758" t="s">
        <v>904</v>
      </c>
      <c r="G2" s="759" t="s">
        <v>1674</v>
      </c>
      <c r="H2" s="759" t="s">
        <v>410</v>
      </c>
      <c r="I2" s="759" t="s">
        <v>1158</v>
      </c>
      <c r="J2" s="759" t="s">
        <v>1812</v>
      </c>
      <c r="K2" s="759" t="s">
        <v>138</v>
      </c>
    </row>
    <row r="3" spans="1:11" x14ac:dyDescent="0.2">
      <c r="A3" s="2236" t="s">
        <v>1964</v>
      </c>
      <c r="B3" s="2237"/>
      <c r="C3" s="2237"/>
      <c r="D3" s="2237"/>
      <c r="E3" s="2238"/>
      <c r="F3" s="760"/>
      <c r="G3" s="761"/>
      <c r="H3" s="761"/>
      <c r="I3" s="761"/>
      <c r="J3" s="762"/>
      <c r="K3" s="762"/>
    </row>
    <row r="4" spans="1:11" x14ac:dyDescent="0.2">
      <c r="A4" s="2239" t="s">
        <v>369</v>
      </c>
      <c r="B4" s="2240"/>
      <c r="C4" s="2240"/>
      <c r="D4" s="2240"/>
      <c r="E4" s="2186"/>
      <c r="F4" s="763"/>
      <c r="G4" s="764"/>
      <c r="H4" s="765"/>
      <c r="I4" s="764"/>
      <c r="J4" s="766"/>
      <c r="K4" s="766"/>
    </row>
    <row r="5" spans="1:11" x14ac:dyDescent="0.2">
      <c r="A5" s="2217" t="s">
        <v>1069</v>
      </c>
      <c r="B5" s="2218"/>
      <c r="C5" s="2218"/>
      <c r="D5" s="2218"/>
      <c r="E5" s="2219"/>
      <c r="F5" s="767" t="s">
        <v>848</v>
      </c>
      <c r="G5" s="768"/>
      <c r="H5" s="761">
        <v>51096</v>
      </c>
      <c r="I5" s="769"/>
      <c r="J5" s="770"/>
      <c r="K5" s="770"/>
    </row>
    <row r="6" spans="1:11" x14ac:dyDescent="0.2">
      <c r="A6" s="771" t="s">
        <v>720</v>
      </c>
      <c r="B6" s="772"/>
      <c r="C6" s="772"/>
      <c r="D6" s="772"/>
      <c r="E6" s="773"/>
      <c r="F6" s="774" t="s">
        <v>849</v>
      </c>
      <c r="G6" s="761"/>
      <c r="H6" s="761">
        <v>5</v>
      </c>
      <c r="I6" s="761"/>
      <c r="J6" s="762"/>
      <c r="K6" s="762"/>
    </row>
    <row r="7" spans="1:11" x14ac:dyDescent="0.2">
      <c r="A7" s="775" t="s">
        <v>246</v>
      </c>
      <c r="B7" s="776"/>
      <c r="C7" s="776"/>
      <c r="D7" s="776"/>
      <c r="E7" s="777"/>
      <c r="F7" s="767" t="s">
        <v>850</v>
      </c>
      <c r="G7" s="764"/>
      <c r="H7" s="764"/>
      <c r="I7" s="764"/>
      <c r="J7" s="778"/>
      <c r="K7" s="762">
        <v>2650</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12793</v>
      </c>
    </row>
    <row r="10" spans="1:11" x14ac:dyDescent="0.2">
      <c r="A10" s="2217" t="s">
        <v>1813</v>
      </c>
      <c r="B10" s="2218"/>
      <c r="C10" s="2218"/>
      <c r="D10" s="2218"/>
      <c r="E10" s="2220"/>
      <c r="F10" s="780" t="s">
        <v>862</v>
      </c>
      <c r="G10" s="779"/>
      <c r="H10" s="781"/>
      <c r="I10" s="761"/>
      <c r="J10" s="762"/>
      <c r="K10" s="762"/>
    </row>
    <row r="11" spans="1:11" x14ac:dyDescent="0.2">
      <c r="A11" s="2217" t="s">
        <v>160</v>
      </c>
      <c r="B11" s="2218"/>
      <c r="C11" s="2218"/>
      <c r="D11" s="2218"/>
      <c r="E11" s="2219"/>
      <c r="F11" s="767" t="s">
        <v>852</v>
      </c>
      <c r="G11" s="768"/>
      <c r="H11" s="761"/>
      <c r="I11" s="761"/>
      <c r="J11" s="762"/>
      <c r="K11" s="770"/>
    </row>
    <row r="12" spans="1:11" ht="13.5" thickBot="1" x14ac:dyDescent="0.25">
      <c r="A12" s="2244" t="s">
        <v>905</v>
      </c>
      <c r="B12" s="2245"/>
      <c r="C12" s="2245"/>
      <c r="D12" s="2245"/>
      <c r="E12" s="2246"/>
      <c r="F12" s="1754"/>
      <c r="G12" s="1755">
        <f>SUM(G5:G11)</f>
        <v>0</v>
      </c>
      <c r="H12" s="1755">
        <f>SUM(H5:H11)</f>
        <v>51101</v>
      </c>
      <c r="I12" s="1755">
        <f>SUM(I5:I11)</f>
        <v>0</v>
      </c>
      <c r="J12" s="1755">
        <f>SUM(J5:J11)</f>
        <v>0</v>
      </c>
      <c r="K12" s="1755">
        <f>SUM(K5:K11)</f>
        <v>15443</v>
      </c>
    </row>
    <row r="13" spans="1:11" ht="13.5" thickTop="1" x14ac:dyDescent="0.2">
      <c r="A13" s="2241" t="s">
        <v>370</v>
      </c>
      <c r="B13" s="2242"/>
      <c r="C13" s="2242"/>
      <c r="D13" s="2242"/>
      <c r="E13" s="2243"/>
      <c r="F13" s="782"/>
      <c r="G13" s="783"/>
      <c r="H13" s="784"/>
      <c r="I13" s="785"/>
      <c r="J13" s="785"/>
      <c r="K13" s="785"/>
    </row>
    <row r="14" spans="1:11" x14ac:dyDescent="0.2">
      <c r="A14" s="2224" t="s">
        <v>456</v>
      </c>
      <c r="B14" s="2224"/>
      <c r="C14" s="2224"/>
      <c r="D14" s="2224"/>
      <c r="E14" s="2225"/>
      <c r="F14" s="786" t="s">
        <v>854</v>
      </c>
      <c r="G14" s="779"/>
      <c r="H14" s="761">
        <v>51101</v>
      </c>
      <c r="I14" s="768"/>
      <c r="J14" s="770"/>
      <c r="K14" s="762">
        <v>15443</v>
      </c>
    </row>
    <row r="15" spans="1:11" x14ac:dyDescent="0.2">
      <c r="A15" s="2218" t="s">
        <v>4</v>
      </c>
      <c r="B15" s="2218"/>
      <c r="C15" s="2218"/>
      <c r="D15" s="2218"/>
      <c r="E15" s="2219"/>
      <c r="F15" s="786" t="s">
        <v>855</v>
      </c>
      <c r="G15" s="768"/>
      <c r="H15" s="761"/>
      <c r="I15" s="761"/>
      <c r="J15" s="762"/>
      <c r="K15" s="762"/>
    </row>
    <row r="16" spans="1:11" x14ac:dyDescent="0.2">
      <c r="A16" s="2218" t="s">
        <v>298</v>
      </c>
      <c r="B16" s="2218"/>
      <c r="C16" s="2218"/>
      <c r="D16" s="2218"/>
      <c r="E16" s="2219"/>
      <c r="F16" s="786" t="s">
        <v>923</v>
      </c>
      <c r="G16" s="769"/>
      <c r="H16" s="764"/>
      <c r="I16" s="764"/>
      <c r="J16" s="766"/>
      <c r="K16" s="766"/>
    </row>
    <row r="17" spans="1:11" x14ac:dyDescent="0.2">
      <c r="A17" s="2249" t="s">
        <v>935</v>
      </c>
      <c r="B17" s="2249"/>
      <c r="C17" s="2249"/>
      <c r="D17" s="2249"/>
      <c r="E17" s="2250"/>
      <c r="F17" s="787"/>
      <c r="G17" s="788"/>
      <c r="H17" s="789"/>
      <c r="I17" s="789"/>
      <c r="J17" s="790"/>
      <c r="K17" s="791"/>
    </row>
    <row r="18" spans="1:11" x14ac:dyDescent="0.2">
      <c r="A18" s="2228" t="s">
        <v>368</v>
      </c>
      <c r="B18" s="2229"/>
      <c r="C18" s="2229"/>
      <c r="D18" s="2229"/>
      <c r="E18" s="2230"/>
      <c r="F18" s="786" t="s">
        <v>932</v>
      </c>
      <c r="G18" s="779"/>
      <c r="H18" s="779"/>
      <c r="I18" s="779"/>
      <c r="J18" s="762"/>
      <c r="K18" s="792"/>
    </row>
    <row r="19" spans="1:11" ht="21.75" customHeight="1" x14ac:dyDescent="0.2">
      <c r="A19" s="2226" t="s">
        <v>1809</v>
      </c>
      <c r="B19" s="2226"/>
      <c r="C19" s="2226"/>
      <c r="D19" s="2226"/>
      <c r="E19" s="2227"/>
      <c r="F19" s="786" t="s">
        <v>933</v>
      </c>
      <c r="G19" s="779"/>
      <c r="H19" s="779"/>
      <c r="I19" s="779"/>
      <c r="J19" s="762"/>
      <c r="K19" s="792"/>
    </row>
    <row r="20" spans="1:11" x14ac:dyDescent="0.2">
      <c r="A20" s="2228" t="s">
        <v>1814</v>
      </c>
      <c r="B20" s="2229"/>
      <c r="C20" s="2229"/>
      <c r="D20" s="2229"/>
      <c r="E20" s="2230"/>
      <c r="F20" s="786" t="s">
        <v>934</v>
      </c>
      <c r="G20" s="779"/>
      <c r="H20" s="779"/>
      <c r="I20" s="779"/>
      <c r="J20" s="762"/>
      <c r="K20" s="792"/>
    </row>
    <row r="21" spans="1:11" ht="13.5" thickBot="1" x14ac:dyDescent="0.25">
      <c r="A21" s="2247" t="s">
        <v>638</v>
      </c>
      <c r="B21" s="2247"/>
      <c r="C21" s="2247"/>
      <c r="D21" s="2247"/>
      <c r="E21" s="2247"/>
      <c r="F21" s="1756"/>
      <c r="G21" s="789"/>
      <c r="H21" s="793"/>
      <c r="I21" s="793"/>
      <c r="J21" s="1757">
        <f>SUM(J18:J20)</f>
        <v>0</v>
      </c>
      <c r="K21" s="790"/>
    </row>
    <row r="22" spans="1:11" ht="13.5" thickTop="1" x14ac:dyDescent="0.2">
      <c r="A22" s="2218" t="s">
        <v>1815</v>
      </c>
      <c r="B22" s="2218"/>
      <c r="C22" s="2218"/>
      <c r="D22" s="2218"/>
      <c r="E22" s="2219"/>
      <c r="F22" s="786" t="s">
        <v>862</v>
      </c>
      <c r="G22" s="779"/>
      <c r="H22" s="761"/>
      <c r="I22" s="761"/>
      <c r="J22" s="794"/>
      <c r="K22" s="762"/>
    </row>
    <row r="23" spans="1:11" ht="13.5" thickBot="1" x14ac:dyDescent="0.25">
      <c r="A23" s="2248" t="s">
        <v>906</v>
      </c>
      <c r="B23" s="2247"/>
      <c r="C23" s="2247"/>
      <c r="D23" s="2247"/>
      <c r="E23" s="2247"/>
      <c r="F23" s="1758"/>
      <c r="G23" s="1755">
        <f>SUM(G14:G16,G21,G22)</f>
        <v>0</v>
      </c>
      <c r="H23" s="1755">
        <f>SUM(H14:H16,H21,H22)</f>
        <v>51101</v>
      </c>
      <c r="I23" s="1755">
        <f>SUM(I14:I16,I21,I22)</f>
        <v>0</v>
      </c>
      <c r="J23" s="1755">
        <f>SUM(J14:J16,J21,J22)</f>
        <v>0</v>
      </c>
      <c r="K23" s="1755">
        <f>SUM(K14:K16,K21,K22)</f>
        <v>15443</v>
      </c>
    </row>
    <row r="24" spans="1:11" ht="14.25" thickTop="1" thickBot="1" x14ac:dyDescent="0.25">
      <c r="A24" s="2248" t="s">
        <v>1965</v>
      </c>
      <c r="B24" s="2247"/>
      <c r="C24" s="2247"/>
      <c r="D24" s="2247"/>
      <c r="E24" s="2247"/>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21"/>
      <c r="I31" s="2222"/>
      <c r="J31" s="2222"/>
      <c r="K31" s="2222"/>
    </row>
    <row r="32" spans="1:11" x14ac:dyDescent="0.2">
      <c r="A32" s="806"/>
      <c r="B32" s="237"/>
      <c r="C32" s="237"/>
      <c r="D32" s="237"/>
      <c r="E32" s="802"/>
      <c r="F32" s="808" t="s">
        <v>540</v>
      </c>
      <c r="G32" s="761"/>
      <c r="H32" s="2223"/>
      <c r="I32" s="2222"/>
      <c r="J32" s="2222"/>
      <c r="K32" s="2222"/>
    </row>
    <row r="33" spans="1:11" ht="1.5" customHeight="1" x14ac:dyDescent="0.2">
      <c r="A33" s="809" t="s">
        <v>1169</v>
      </c>
      <c r="B33" s="364"/>
      <c r="C33" s="364"/>
      <c r="D33" s="364"/>
      <c r="E33" s="364"/>
      <c r="F33" s="364"/>
      <c r="G33" s="810"/>
      <c r="H33" s="2223"/>
      <c r="I33" s="2222"/>
      <c r="J33" s="2222"/>
      <c r="K33" s="222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8" t="s">
        <v>541</v>
      </c>
      <c r="B41" s="2231"/>
      <c r="C41" s="2231"/>
      <c r="D41" s="2231"/>
      <c r="E41" s="2231"/>
      <c r="F41" s="223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3"/>
      <c r="E1" s="824"/>
      <c r="F1" s="824"/>
      <c r="G1" s="825"/>
      <c r="H1" s="826"/>
      <c r="I1" s="827"/>
      <c r="J1" s="2251"/>
      <c r="K1" s="2252"/>
      <c r="L1" s="225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241877</v>
      </c>
      <c r="D5" s="838"/>
      <c r="E5" s="838"/>
      <c r="F5" s="1757">
        <f>(C5+D5)-E5</f>
        <v>241877</v>
      </c>
      <c r="G5" s="834"/>
      <c r="H5" s="839"/>
      <c r="I5" s="839"/>
      <c r="J5" s="839"/>
      <c r="K5" s="790"/>
      <c r="L5" s="1766">
        <f>F5-K5</f>
        <v>241877</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16945859</v>
      </c>
      <c r="D8" s="841">
        <v>104008</v>
      </c>
      <c r="E8" s="841"/>
      <c r="F8" s="1757">
        <f>(C8+D8)-E8</f>
        <v>17049867</v>
      </c>
      <c r="G8" s="840">
        <v>50</v>
      </c>
      <c r="H8" s="762">
        <v>7223117</v>
      </c>
      <c r="I8" s="762">
        <v>325426</v>
      </c>
      <c r="J8" s="762"/>
      <c r="K8" s="1766">
        <f>(H8+I8)-J8</f>
        <v>7548543</v>
      </c>
      <c r="L8" s="1766">
        <f>F8-K8</f>
        <v>9501324</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2751043</v>
      </c>
      <c r="D10" s="843">
        <v>31951</v>
      </c>
      <c r="E10" s="843"/>
      <c r="F10" s="1761">
        <f>(C10+D10)-E10</f>
        <v>2782994</v>
      </c>
      <c r="G10" s="840">
        <v>20</v>
      </c>
      <c r="H10" s="844">
        <v>1264271</v>
      </c>
      <c r="I10" s="844">
        <v>123259</v>
      </c>
      <c r="J10" s="844"/>
      <c r="K10" s="1766">
        <f>(H10+I10)-J10</f>
        <v>1387530</v>
      </c>
      <c r="L10" s="1766">
        <f>F10-K10</f>
        <v>1395464</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754732</v>
      </c>
      <c r="D12" s="841">
        <v>32323</v>
      </c>
      <c r="E12" s="841">
        <v>91062</v>
      </c>
      <c r="F12" s="1757">
        <f>(C12+D12)-E12</f>
        <v>695993</v>
      </c>
      <c r="G12" s="840">
        <v>10</v>
      </c>
      <c r="H12" s="762">
        <v>446533</v>
      </c>
      <c r="I12" s="762">
        <v>69600</v>
      </c>
      <c r="J12" s="762">
        <v>91062</v>
      </c>
      <c r="K12" s="1766">
        <f>(H12+I12)-J12</f>
        <v>425071</v>
      </c>
      <c r="L12" s="1766">
        <f>F12-K12</f>
        <v>270922</v>
      </c>
    </row>
    <row r="13" spans="1:14" ht="14.25" thickTop="1" thickBot="1" x14ac:dyDescent="0.25">
      <c r="A13" s="845" t="s">
        <v>1122</v>
      </c>
      <c r="B13" s="837">
        <v>252</v>
      </c>
      <c r="C13" s="841">
        <v>34871</v>
      </c>
      <c r="D13" s="841"/>
      <c r="E13" s="841"/>
      <c r="F13" s="1757">
        <f>(C13+D13)-E13</f>
        <v>34871</v>
      </c>
      <c r="G13" s="840">
        <v>5</v>
      </c>
      <c r="H13" s="762">
        <v>20922</v>
      </c>
      <c r="I13" s="762">
        <v>6974</v>
      </c>
      <c r="J13" s="762"/>
      <c r="K13" s="1766">
        <f>(H13+I13)-J13</f>
        <v>27896</v>
      </c>
      <c r="L13" s="1766">
        <f>F13-K13</f>
        <v>6975</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20728382</v>
      </c>
      <c r="D16" s="1757">
        <f>SUM(D3,D5:D6,D8:D10,D12:D15)</f>
        <v>168282</v>
      </c>
      <c r="E16" s="1757">
        <f>SUM(E3,E5:E6,E8:E10,E12:E15)</f>
        <v>91062</v>
      </c>
      <c r="F16" s="1757">
        <f>SUM(F3,F5:F6,F8:F10,F12:F15)</f>
        <v>20805602</v>
      </c>
      <c r="G16" s="840"/>
      <c r="H16" s="1757">
        <f>SUM(H3,H6,H8:H10,H12:H14,)</f>
        <v>8954843</v>
      </c>
      <c r="I16" s="1757">
        <f>SUM(I3,I6,I8:I10,I12:I14,)</f>
        <v>525259</v>
      </c>
      <c r="J16" s="1757">
        <f>SUM(J3,J6,J8:J10,J12:J14,)</f>
        <v>91062</v>
      </c>
      <c r="K16" s="1757">
        <f>(H16+I16)-J16</f>
        <v>9389040</v>
      </c>
      <c r="L16" s="1757">
        <f>F16-K16</f>
        <v>11416562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525259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5" sqref="B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9" t="s">
        <v>1975</v>
      </c>
      <c r="B1" s="2260"/>
      <c r="C1" s="2260"/>
      <c r="D1" s="2260"/>
      <c r="E1" s="2260"/>
      <c r="F1" s="2261"/>
      <c r="G1" s="852"/>
    </row>
    <row r="2" spans="1:7" ht="15" customHeight="1" thickBot="1" x14ac:dyDescent="0.25">
      <c r="A2" s="2262" t="s">
        <v>477</v>
      </c>
      <c r="B2" s="2263"/>
      <c r="C2" s="2263"/>
      <c r="D2" s="2263"/>
      <c r="E2" s="2263"/>
      <c r="F2" s="226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8271177</v>
      </c>
      <c r="G8" s="862"/>
    </row>
    <row r="9" spans="1:7" x14ac:dyDescent="0.2">
      <c r="A9" s="866" t="s">
        <v>460</v>
      </c>
      <c r="B9" s="867" t="s">
        <v>1877</v>
      </c>
      <c r="C9" s="868"/>
      <c r="D9" s="866" t="s">
        <v>501</v>
      </c>
      <c r="E9" s="865"/>
      <c r="F9" s="1906">
        <f>'Expenditures 15-22'!K151</f>
        <v>1053476</v>
      </c>
      <c r="G9" s="869"/>
    </row>
    <row r="10" spans="1:7" x14ac:dyDescent="0.2">
      <c r="A10" s="866" t="s">
        <v>499</v>
      </c>
      <c r="B10" s="867" t="s">
        <v>1878</v>
      </c>
      <c r="C10" s="868"/>
      <c r="D10" s="866" t="s">
        <v>501</v>
      </c>
      <c r="E10" s="865"/>
      <c r="F10" s="1906">
        <f>'Expenditures 15-22'!K174</f>
        <v>113075</v>
      </c>
      <c r="G10" s="869"/>
    </row>
    <row r="11" spans="1:7" x14ac:dyDescent="0.2">
      <c r="A11" s="866" t="s">
        <v>461</v>
      </c>
      <c r="B11" s="867" t="s">
        <v>1879</v>
      </c>
      <c r="C11" s="868"/>
      <c r="D11" s="866" t="s">
        <v>501</v>
      </c>
      <c r="E11" s="865"/>
      <c r="F11" s="1906">
        <f>'Expenditures 15-22'!K210</f>
        <v>999608</v>
      </c>
      <c r="G11" s="869"/>
    </row>
    <row r="12" spans="1:7" x14ac:dyDescent="0.2">
      <c r="A12" s="866" t="s">
        <v>462</v>
      </c>
      <c r="B12" s="867" t="s">
        <v>1880</v>
      </c>
      <c r="C12" s="868"/>
      <c r="D12" s="866" t="s">
        <v>501</v>
      </c>
      <c r="E12" s="865"/>
      <c r="F12" s="1906">
        <f>'Expenditures 15-22'!K295</f>
        <v>334237</v>
      </c>
      <c r="G12" s="869"/>
    </row>
    <row r="13" spans="1:7" x14ac:dyDescent="0.2">
      <c r="A13" s="866" t="s">
        <v>106</v>
      </c>
      <c r="B13" s="867" t="s">
        <v>1881</v>
      </c>
      <c r="C13" s="868"/>
      <c r="D13" s="866" t="s">
        <v>501</v>
      </c>
      <c r="E13" s="865"/>
      <c r="F13" s="1906">
        <f>'Expenditures 15-22'!K342</f>
        <v>385849</v>
      </c>
      <c r="G13" s="870"/>
    </row>
    <row r="14" spans="1:7" ht="12" customHeight="1" thickBot="1" x14ac:dyDescent="0.25">
      <c r="A14" s="1767"/>
      <c r="B14" s="1768"/>
      <c r="C14" s="1769"/>
      <c r="D14" s="1770" t="s">
        <v>501</v>
      </c>
      <c r="E14" s="1771" t="s">
        <v>958</v>
      </c>
      <c r="F14" s="1772">
        <f>SUM(F8:F13)</f>
        <v>11157422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166678</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92092</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9976</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348274</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243565</v>
      </c>
      <c r="G53" s="862"/>
    </row>
    <row r="54" spans="1:7" x14ac:dyDescent="0.2">
      <c r="A54" s="866" t="s">
        <v>459</v>
      </c>
      <c r="B54" s="866" t="s">
        <v>1476</v>
      </c>
      <c r="C54" s="886" t="s">
        <v>982</v>
      </c>
      <c r="D54" s="882" t="s">
        <v>1095</v>
      </c>
      <c r="E54" s="865"/>
      <c r="F54" s="1910">
        <f>'Expenditures 15-22'!G114</f>
        <v>8200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100563</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100000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8999</v>
      </c>
      <c r="G67" s="862"/>
    </row>
    <row r="68" spans="1:8" x14ac:dyDescent="0.2">
      <c r="A68" s="866" t="s">
        <v>462</v>
      </c>
      <c r="B68" s="866" t="s">
        <v>1479</v>
      </c>
      <c r="C68" s="883" t="str">
        <f>'Expenditures 15-22'!B218</f>
        <v>1225</v>
      </c>
      <c r="D68" s="889" t="str">
        <f>'Expenditures 15-22'!A218</f>
        <v>Special Education Programs - Pre-K</v>
      </c>
      <c r="E68" s="865"/>
      <c r="F68" s="1910">
        <f>'Expenditures 15-22'!K218</f>
        <v>6022</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38</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1084407</v>
      </c>
      <c r="G76" s="862"/>
    </row>
    <row r="77" spans="1:8" s="890" customFormat="1" ht="12" customHeight="1" thickTop="1" thickBot="1" x14ac:dyDescent="0.25">
      <c r="A77" s="1776"/>
      <c r="B77" s="1773"/>
      <c r="C77" s="1769"/>
      <c r="D77" s="1774" t="s">
        <v>1900</v>
      </c>
      <c r="E77" s="1771"/>
      <c r="F77" s="1777">
        <f>(F14-F76)</f>
        <v>10073015</v>
      </c>
      <c r="G77" s="866"/>
    </row>
    <row r="78" spans="1:8" s="890" customFormat="1" ht="12" customHeight="1" thickTop="1" x14ac:dyDescent="0.2">
      <c r="A78" s="1778"/>
      <c r="B78" s="1773"/>
      <c r="C78" s="1769"/>
      <c r="D78" s="1774" t="s">
        <v>2062</v>
      </c>
      <c r="E78" s="1771"/>
      <c r="F78" s="895">
        <v>782.8</v>
      </c>
      <c r="G78" s="896"/>
      <c r="H78" s="866"/>
    </row>
    <row r="79" spans="1:8" s="890" customFormat="1" ht="12" customHeight="1" thickBot="1" x14ac:dyDescent="0.25">
      <c r="A79" s="1779"/>
      <c r="B79" s="1773"/>
      <c r="C79" s="1769"/>
      <c r="D79" s="1774" t="s">
        <v>1901</v>
      </c>
      <c r="E79" s="1771" t="s">
        <v>958</v>
      </c>
      <c r="F79" s="1780">
        <f>IF(F78&gt;0,F77/F78," Complete Line 78")</f>
        <v>12867.929228410834</v>
      </c>
      <c r="G79" s="866"/>
    </row>
    <row r="80" spans="1:8" s="890" customFormat="1" ht="8.25" customHeight="1" thickTop="1" x14ac:dyDescent="0.2">
      <c r="A80" s="897"/>
      <c r="B80" s="866"/>
      <c r="C80" s="868"/>
      <c r="D80" s="898"/>
      <c r="E80" s="865"/>
      <c r="F80" s="899"/>
      <c r="G80" s="866"/>
    </row>
    <row r="81" spans="1:7" s="890" customFormat="1" ht="12" thickBot="1" x14ac:dyDescent="0.25">
      <c r="A81" s="2256" t="s">
        <v>1105</v>
      </c>
      <c r="B81" s="2257"/>
      <c r="C81" s="2257"/>
      <c r="D81" s="2257"/>
      <c r="E81" s="2257"/>
      <c r="F81" s="225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129556</v>
      </c>
      <c r="G94" s="909"/>
    </row>
    <row r="95" spans="1:7" x14ac:dyDescent="0.2">
      <c r="A95" s="905" t="s">
        <v>140</v>
      </c>
      <c r="B95" s="905" t="s">
        <v>175</v>
      </c>
      <c r="C95" s="907">
        <v>1700</v>
      </c>
      <c r="D95" s="915" t="str">
        <f>'Revenues 9-14'!A82</f>
        <v>Total District/School Activity Income</v>
      </c>
      <c r="E95" s="903"/>
      <c r="F95" s="1786">
        <f>SUM('Revenues 9-14'!C82,'Revenues 9-14'!D82)</f>
        <v>42129</v>
      </c>
      <c r="G95" s="909"/>
    </row>
    <row r="96" spans="1:7" x14ac:dyDescent="0.2">
      <c r="A96" s="905" t="s">
        <v>459</v>
      </c>
      <c r="B96" s="905" t="s">
        <v>176</v>
      </c>
      <c r="C96" s="907">
        <f>'Revenues 9-14'!B84</f>
        <v>1811</v>
      </c>
      <c r="D96" s="908" t="str">
        <f>'Revenues 9-14'!A84</f>
        <v>Rentals - Regular Textbooks</v>
      </c>
      <c r="E96" s="903"/>
      <c r="F96" s="1786">
        <f>'Revenues 9-14'!C84</f>
        <v>37209</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9501</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104633</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48648</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2938</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12793</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539263</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2192</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154813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110309</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105094</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127266</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8590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6658</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23078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21755</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8405</v>
      </c>
      <c r="G170" s="924"/>
    </row>
    <row r="171" spans="1:7" x14ac:dyDescent="0.2">
      <c r="A171" s="1915" t="s">
        <v>5</v>
      </c>
      <c r="B171" s="1916" t="s">
        <v>1920</v>
      </c>
      <c r="C171" s="1917">
        <v>3100</v>
      </c>
      <c r="D171" s="1918" t="s">
        <v>1922</v>
      </c>
      <c r="E171" s="903"/>
      <c r="F171" s="1903">
        <v>330700.90000000002</v>
      </c>
      <c r="G171" s="924"/>
    </row>
    <row r="172" spans="1:7" x14ac:dyDescent="0.2">
      <c r="A172" s="1915" t="s">
        <v>664</v>
      </c>
      <c r="B172" s="1916" t="s">
        <v>1920</v>
      </c>
      <c r="C172" s="1917">
        <v>3300</v>
      </c>
      <c r="D172" s="1918" t="s">
        <v>1923</v>
      </c>
      <c r="E172" s="903"/>
      <c r="F172" s="1903">
        <v>278.74</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1825809.64</v>
      </c>
    </row>
    <row r="175" spans="1:7" ht="12" customHeight="1" x14ac:dyDescent="0.2">
      <c r="A175" s="1767"/>
      <c r="B175" s="1781"/>
      <c r="C175" s="1782"/>
      <c r="D175" s="1783" t="s">
        <v>2057</v>
      </c>
      <c r="E175" s="1784"/>
      <c r="F175" s="1786">
        <f>'PCTC-OEPP 27-28'!F77-F174</f>
        <v>8247205.3600000003</v>
      </c>
    </row>
    <row r="176" spans="1:7" ht="12" customHeight="1" x14ac:dyDescent="0.2">
      <c r="A176" s="1767"/>
      <c r="B176" s="1781"/>
      <c r="C176" s="1782"/>
      <c r="D176" s="1783" t="s">
        <v>1817</v>
      </c>
      <c r="E176" s="1784"/>
      <c r="F176" s="1786">
        <f>'Cap Outlay Deprec 26'!I18</f>
        <v>525259</v>
      </c>
    </row>
    <row r="177" spans="1:7" ht="12" customHeight="1" x14ac:dyDescent="0.2">
      <c r="A177" s="1767"/>
      <c r="B177" s="1781"/>
      <c r="C177" s="1782"/>
      <c r="D177" s="1783" t="s">
        <v>2058</v>
      </c>
      <c r="E177" s="1784"/>
      <c r="F177" s="1786">
        <f>F175+F176</f>
        <v>8772464.3599999994</v>
      </c>
    </row>
    <row r="178" spans="1:7" ht="12" customHeight="1" x14ac:dyDescent="0.2">
      <c r="A178" s="1767"/>
      <c r="B178" s="1787"/>
      <c r="C178" s="1782"/>
      <c r="D178" s="1783" t="str">
        <f>D78</f>
        <v>9 Month ADA from District Average Daily Attendance/Prior General State Aid Inquiry 2018-2019</v>
      </c>
      <c r="E178" s="1784"/>
      <c r="F178" s="1788">
        <f>'PCTC-OEPP 27-28'!F78</f>
        <v>782.8</v>
      </c>
      <c r="G178" s="927"/>
    </row>
    <row r="179" spans="1:7" ht="12" customHeight="1" thickBot="1" x14ac:dyDescent="0.25">
      <c r="A179" s="1767"/>
      <c r="B179" s="1787"/>
      <c r="C179" s="1782"/>
      <c r="D179" s="1783" t="s">
        <v>2059</v>
      </c>
      <c r="E179" s="1784" t="s">
        <v>1545</v>
      </c>
      <c r="F179" s="1789">
        <f>F177/F178</f>
        <v>11206.520643842616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46" sqref="B46"/>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1" t="s">
        <v>1819</v>
      </c>
      <c r="B6" s="1532"/>
      <c r="C6" s="1532"/>
      <c r="D6" s="1532"/>
      <c r="E6" s="1532"/>
      <c r="F6" s="1532"/>
      <c r="G6" s="1533"/>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4" t="s">
        <v>1820</v>
      </c>
      <c r="B10" s="1535"/>
      <c r="C10" s="1535"/>
      <c r="D10" s="1535"/>
      <c r="E10" s="1535"/>
      <c r="F10" s="1535"/>
      <c r="G10" s="1536"/>
    </row>
    <row r="11" spans="1:7" ht="17.25" customHeight="1" x14ac:dyDescent="0.25">
      <c r="A11" s="2276" t="s">
        <v>1934</v>
      </c>
      <c r="B11" s="2277"/>
      <c r="C11" s="2277"/>
      <c r="D11" s="2277"/>
      <c r="E11" s="2277"/>
      <c r="F11" s="2277"/>
      <c r="G11" s="2278"/>
    </row>
    <row r="12" spans="1:7" ht="15" customHeight="1" x14ac:dyDescent="0.25">
      <c r="A12" s="1534" t="s">
        <v>1825</v>
      </c>
      <c r="B12" s="1535"/>
      <c r="C12" s="1535"/>
      <c r="D12" s="1535"/>
      <c r="E12" s="1535"/>
      <c r="F12" s="1535"/>
      <c r="G12" s="1536"/>
    </row>
    <row r="13" spans="1:7" ht="32.25" customHeight="1" x14ac:dyDescent="0.25">
      <c r="A13" s="2267" t="s">
        <v>1976</v>
      </c>
      <c r="B13" s="2268"/>
      <c r="C13" s="2268"/>
      <c r="D13" s="2268"/>
      <c r="E13" s="2268"/>
      <c r="F13" s="2268"/>
      <c r="G13" s="2269"/>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6" t="s">
        <v>2098</v>
      </c>
      <c r="B17" s="1934" t="s">
        <v>2095</v>
      </c>
      <c r="C17" s="1935" t="s">
        <v>2092</v>
      </c>
      <c r="D17" s="1841">
        <v>910932</v>
      </c>
      <c r="E17" s="1537">
        <f>IF(D17&lt;=25000,D17,IF(D17&gt;25000,25000,0))</f>
        <v>25000</v>
      </c>
      <c r="F17" s="1929">
        <f>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885932</v>
      </c>
      <c r="H17" s="1644"/>
    </row>
    <row r="18" spans="1:8" x14ac:dyDescent="0.25">
      <c r="A18" s="1937" t="s">
        <v>2112</v>
      </c>
      <c r="B18" s="1934" t="s">
        <v>2096</v>
      </c>
      <c r="C18" s="1935" t="s">
        <v>2097</v>
      </c>
      <c r="D18" s="1841">
        <v>150445</v>
      </c>
      <c r="E18" s="1537">
        <f>IF(D18&lt;=25000,D18,IF(D18&gt;25000,25000,0))</f>
        <v>25000</v>
      </c>
      <c r="F18" s="1929">
        <f>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0">
        <f>IF(F18=0,0,D18-F18)</f>
        <v>125445</v>
      </c>
    </row>
    <row r="19" spans="1:8" x14ac:dyDescent="0.25">
      <c r="A19" s="1940" t="s">
        <v>2122</v>
      </c>
      <c r="B19" s="1938" t="s">
        <v>2114</v>
      </c>
      <c r="C19" s="1939" t="s">
        <v>2113</v>
      </c>
      <c r="D19" s="1841">
        <v>87061</v>
      </c>
      <c r="E19" s="1537">
        <f>IF(D19&lt;=25000,D19,IF(D19&gt;25000,25000,0))</f>
        <v>25000</v>
      </c>
      <c r="F19" s="1929">
        <f>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19,0)</f>
        <v>25000</v>
      </c>
      <c r="G19" s="1790">
        <f>IF(F19=0,0,D19-F19)</f>
        <v>62061</v>
      </c>
    </row>
    <row r="20" spans="1:8" x14ac:dyDescent="0.25">
      <c r="A20" s="1940" t="s">
        <v>2123</v>
      </c>
      <c r="B20" s="1938" t="s">
        <v>1824</v>
      </c>
      <c r="C20" s="1939" t="s">
        <v>2115</v>
      </c>
      <c r="D20" s="1841">
        <v>77177</v>
      </c>
      <c r="E20" s="1537">
        <f t="shared" ref="E20:E140" si="0">IF(D20&lt;=25000,D20,IF(D20&gt;25000,25000,0))</f>
        <v>25000</v>
      </c>
      <c r="F20" s="1929">
        <f t="shared" ref="F20:F80" si="1">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25000</v>
      </c>
      <c r="G20" s="1790">
        <f t="shared" ref="G20:G140" si="2">IF(F20=0,0,D20-F20)</f>
        <v>52177</v>
      </c>
    </row>
    <row r="21" spans="1:8" x14ac:dyDescent="0.25">
      <c r="A21" s="1940" t="s">
        <v>2124</v>
      </c>
      <c r="B21" s="1938" t="s">
        <v>1824</v>
      </c>
      <c r="C21" s="1939" t="s">
        <v>2116</v>
      </c>
      <c r="D21" s="1841">
        <v>203697</v>
      </c>
      <c r="E21" s="1537">
        <f t="shared" si="0"/>
        <v>25000</v>
      </c>
      <c r="F21" s="1929">
        <f t="shared" si="1"/>
        <v>25000</v>
      </c>
      <c r="G21" s="1790">
        <f t="shared" si="2"/>
        <v>178697</v>
      </c>
    </row>
    <row r="22" spans="1:8" x14ac:dyDescent="0.25">
      <c r="A22" s="1940" t="s">
        <v>2112</v>
      </c>
      <c r="B22" s="1938" t="s">
        <v>2096</v>
      </c>
      <c r="C22" s="1939" t="s">
        <v>2117</v>
      </c>
      <c r="D22" s="1841">
        <v>38396</v>
      </c>
      <c r="E22" s="1537">
        <f t="shared" si="0"/>
        <v>25000</v>
      </c>
      <c r="F22" s="1929">
        <f t="shared" si="1"/>
        <v>25000</v>
      </c>
      <c r="G22" s="1790">
        <f t="shared" si="2"/>
        <v>13396</v>
      </c>
    </row>
    <row r="23" spans="1:8" x14ac:dyDescent="0.25">
      <c r="A23" s="1940" t="s">
        <v>2124</v>
      </c>
      <c r="B23" s="1938" t="s">
        <v>1824</v>
      </c>
      <c r="C23" s="1939" t="s">
        <v>2118</v>
      </c>
      <c r="D23" s="1841">
        <v>63549</v>
      </c>
      <c r="E23" s="1537">
        <f t="shared" si="0"/>
        <v>25000</v>
      </c>
      <c r="F23" s="1929">
        <f t="shared" si="1"/>
        <v>25000</v>
      </c>
      <c r="G23" s="1790">
        <f t="shared" si="2"/>
        <v>38549</v>
      </c>
    </row>
    <row r="24" spans="1:8" x14ac:dyDescent="0.25">
      <c r="A24" s="1940" t="s">
        <v>2121</v>
      </c>
      <c r="B24" s="1938" t="s">
        <v>2120</v>
      </c>
      <c r="C24" s="1939" t="s">
        <v>2119</v>
      </c>
      <c r="D24" s="1841">
        <f>59734+63549</f>
        <v>123283</v>
      </c>
      <c r="E24" s="1537">
        <f t="shared" si="0"/>
        <v>25000</v>
      </c>
      <c r="F24" s="1929">
        <f t="shared" si="1"/>
        <v>25000</v>
      </c>
      <c r="G24" s="1790">
        <f t="shared" si="2"/>
        <v>98283</v>
      </c>
    </row>
    <row r="25" spans="1:8" x14ac:dyDescent="0.25">
      <c r="A25" s="1937"/>
      <c r="B25" s="1938"/>
      <c r="C25" s="1939"/>
      <c r="D25" s="1841"/>
      <c r="E25" s="1537">
        <f t="shared" si="0"/>
        <v>0</v>
      </c>
      <c r="F25" s="1929">
        <f t="shared" si="1"/>
        <v>0</v>
      </c>
      <c r="G25" s="1790">
        <f t="shared" si="2"/>
        <v>0</v>
      </c>
    </row>
    <row r="26" spans="1:8" x14ac:dyDescent="0.25">
      <c r="A26" s="1650"/>
      <c r="B26" s="1934"/>
      <c r="C26" s="1651"/>
      <c r="D26" s="1841"/>
      <c r="E26" s="1537">
        <f t="shared" si="0"/>
        <v>0</v>
      </c>
      <c r="F26" s="1929">
        <f t="shared" si="1"/>
        <v>0</v>
      </c>
      <c r="G26" s="1790">
        <f t="shared" si="2"/>
        <v>0</v>
      </c>
    </row>
    <row r="27" spans="1:8" x14ac:dyDescent="0.25">
      <c r="A27" s="1650"/>
      <c r="B27" s="1934"/>
      <c r="C27" s="1651"/>
      <c r="D27" s="1841"/>
      <c r="E27" s="1537">
        <f t="shared" si="0"/>
        <v>0</v>
      </c>
      <c r="F27" s="1929">
        <f t="shared" si="1"/>
        <v>0</v>
      </c>
      <c r="G27" s="1790">
        <f t="shared" si="2"/>
        <v>0</v>
      </c>
    </row>
    <row r="28" spans="1:8" x14ac:dyDescent="0.25">
      <c r="A28" s="1650"/>
      <c r="B28" s="1934"/>
      <c r="C28" s="1651"/>
      <c r="D28" s="1841"/>
      <c r="E28" s="1537">
        <f t="shared" si="0"/>
        <v>0</v>
      </c>
      <c r="F28" s="1929">
        <f t="shared" si="1"/>
        <v>0</v>
      </c>
      <c r="G28" s="1790">
        <f t="shared" si="2"/>
        <v>0</v>
      </c>
    </row>
    <row r="29" spans="1:8" x14ac:dyDescent="0.25">
      <c r="A29" s="1650"/>
      <c r="B29" s="1934"/>
      <c r="C29" s="1651"/>
      <c r="D29" s="1841"/>
      <c r="E29" s="1537">
        <f t="shared" si="0"/>
        <v>0</v>
      </c>
      <c r="F29" s="1929">
        <f t="shared" si="1"/>
        <v>0</v>
      </c>
      <c r="G29" s="1790">
        <f t="shared" si="2"/>
        <v>0</v>
      </c>
    </row>
    <row r="30" spans="1:8" x14ac:dyDescent="0.25">
      <c r="A30" s="1650"/>
      <c r="B30" s="1934"/>
      <c r="C30" s="1651"/>
      <c r="D30" s="1841"/>
      <c r="E30" s="1537">
        <f t="shared" si="0"/>
        <v>0</v>
      </c>
      <c r="F30" s="1929">
        <f t="shared" si="1"/>
        <v>0</v>
      </c>
      <c r="G30" s="1790">
        <f t="shared" si="2"/>
        <v>0</v>
      </c>
    </row>
    <row r="31" spans="1:8" x14ac:dyDescent="0.25">
      <c r="A31" s="1650"/>
      <c r="B31" s="1934"/>
      <c r="C31" s="1651"/>
      <c r="D31" s="1841"/>
      <c r="E31" s="1537">
        <f t="shared" si="0"/>
        <v>0</v>
      </c>
      <c r="F31" s="1929">
        <f t="shared" si="1"/>
        <v>0</v>
      </c>
      <c r="G31" s="1790">
        <f t="shared" si="2"/>
        <v>0</v>
      </c>
    </row>
    <row r="32" spans="1:8" x14ac:dyDescent="0.25">
      <c r="A32" s="1650"/>
      <c r="B32" s="1931"/>
      <c r="C32" s="1651"/>
      <c r="D32" s="1841"/>
      <c r="E32" s="1537">
        <f t="shared" si="0"/>
        <v>0</v>
      </c>
      <c r="F32" s="1929">
        <f t="shared" si="1"/>
        <v>0</v>
      </c>
      <c r="G32" s="1790">
        <f t="shared" si="2"/>
        <v>0</v>
      </c>
    </row>
    <row r="33" spans="1:7" x14ac:dyDescent="0.25">
      <c r="A33" s="1650"/>
      <c r="B33" s="1931"/>
      <c r="C33" s="1651"/>
      <c r="D33" s="1841"/>
      <c r="E33" s="1537">
        <f t="shared" si="0"/>
        <v>0</v>
      </c>
      <c r="F33" s="1929">
        <f t="shared" si="1"/>
        <v>0</v>
      </c>
      <c r="G33" s="1790">
        <f t="shared" si="2"/>
        <v>0</v>
      </c>
    </row>
    <row r="34" spans="1:7" x14ac:dyDescent="0.25">
      <c r="A34" s="1650"/>
      <c r="B34" s="1931"/>
      <c r="C34" s="1651"/>
      <c r="D34" s="1841"/>
      <c r="E34" s="1537">
        <f t="shared" si="0"/>
        <v>0</v>
      </c>
      <c r="F34" s="1929">
        <f t="shared" si="1"/>
        <v>0</v>
      </c>
      <c r="G34" s="1790">
        <f t="shared" si="2"/>
        <v>0</v>
      </c>
    </row>
    <row r="35" spans="1:7" x14ac:dyDescent="0.25">
      <c r="A35" s="1650"/>
      <c r="B35" s="1931"/>
      <c r="C35" s="1651"/>
      <c r="D35" s="1841"/>
      <c r="E35" s="1537">
        <f t="shared" si="0"/>
        <v>0</v>
      </c>
      <c r="F35" s="1929">
        <f t="shared" si="1"/>
        <v>0</v>
      </c>
      <c r="G35" s="1790">
        <f t="shared" si="2"/>
        <v>0</v>
      </c>
    </row>
    <row r="36" spans="1:7" x14ac:dyDescent="0.25">
      <c r="A36" s="1650"/>
      <c r="B36" s="1931"/>
      <c r="C36" s="1651"/>
      <c r="D36" s="1841"/>
      <c r="E36" s="1537">
        <f t="shared" si="0"/>
        <v>0</v>
      </c>
      <c r="F36" s="1929">
        <f t="shared" si="1"/>
        <v>0</v>
      </c>
      <c r="G36" s="1790">
        <f t="shared" si="2"/>
        <v>0</v>
      </c>
    </row>
    <row r="37" spans="1:7" x14ac:dyDescent="0.25">
      <c r="A37" s="1650"/>
      <c r="B37" s="1931"/>
      <c r="C37" s="1651"/>
      <c r="D37" s="1841"/>
      <c r="E37" s="1537">
        <f t="shared" si="0"/>
        <v>0</v>
      </c>
      <c r="F37" s="1929">
        <f t="shared" si="1"/>
        <v>0</v>
      </c>
      <c r="G37" s="1790">
        <f t="shared" si="2"/>
        <v>0</v>
      </c>
    </row>
    <row r="38" spans="1:7" x14ac:dyDescent="0.25">
      <c r="A38" s="1650"/>
      <c r="B38" s="1932"/>
      <c r="C38" s="1651"/>
      <c r="D38" s="1841"/>
      <c r="E38" s="1537">
        <f t="shared" si="0"/>
        <v>0</v>
      </c>
      <c r="F38" s="1929">
        <f t="shared" si="1"/>
        <v>0</v>
      </c>
      <c r="G38" s="1790">
        <f t="shared" si="2"/>
        <v>0</v>
      </c>
    </row>
    <row r="39" spans="1:7" x14ac:dyDescent="0.25">
      <c r="A39" s="1650"/>
      <c r="B39" s="1932"/>
      <c r="C39" s="1651"/>
      <c r="D39" s="1841"/>
      <c r="E39" s="1537">
        <f t="shared" si="0"/>
        <v>0</v>
      </c>
      <c r="F39" s="1929">
        <f t="shared" si="1"/>
        <v>0</v>
      </c>
      <c r="G39" s="1790">
        <f t="shared" si="2"/>
        <v>0</v>
      </c>
    </row>
    <row r="40" spans="1:7" x14ac:dyDescent="0.25">
      <c r="A40" s="1650"/>
      <c r="B40" s="1932"/>
      <c r="C40" s="1651"/>
      <c r="D40" s="1841"/>
      <c r="E40" s="1537">
        <f t="shared" si="0"/>
        <v>0</v>
      </c>
      <c r="F40" s="1929">
        <f t="shared" si="1"/>
        <v>0</v>
      </c>
      <c r="G40" s="1790">
        <f t="shared" si="2"/>
        <v>0</v>
      </c>
    </row>
    <row r="41" spans="1:7" x14ac:dyDescent="0.25">
      <c r="A41" s="1650"/>
      <c r="B41" s="1932"/>
      <c r="C41" s="1651"/>
      <c r="D41" s="1841"/>
      <c r="E41" s="1537">
        <f t="shared" si="0"/>
        <v>0</v>
      </c>
      <c r="F41" s="1929">
        <f t="shared" si="1"/>
        <v>0</v>
      </c>
      <c r="G41" s="1790">
        <f t="shared" si="2"/>
        <v>0</v>
      </c>
    </row>
    <row r="42" spans="1:7" x14ac:dyDescent="0.25">
      <c r="A42" s="1650"/>
      <c r="B42" s="1932"/>
      <c r="C42" s="1651"/>
      <c r="D42" s="1841"/>
      <c r="E42" s="1537">
        <f t="shared" si="0"/>
        <v>0</v>
      </c>
      <c r="F42" s="1929">
        <f t="shared" si="1"/>
        <v>0</v>
      </c>
      <c r="G42" s="1790">
        <f t="shared" si="2"/>
        <v>0</v>
      </c>
    </row>
    <row r="43" spans="1:7" x14ac:dyDescent="0.25">
      <c r="A43" s="1650"/>
      <c r="B43" s="1932"/>
      <c r="C43" s="1651"/>
      <c r="D43" s="1841"/>
      <c r="E43" s="1537">
        <f t="shared" si="0"/>
        <v>0</v>
      </c>
      <c r="F43" s="1929">
        <f t="shared" si="1"/>
        <v>0</v>
      </c>
      <c r="G43" s="1790">
        <f t="shared" si="2"/>
        <v>0</v>
      </c>
    </row>
    <row r="44" spans="1:7" x14ac:dyDescent="0.25">
      <c r="A44" s="1650"/>
      <c r="B44" s="1932"/>
      <c r="C44" s="1651"/>
      <c r="D44" s="1841"/>
      <c r="E44" s="1537">
        <f t="shared" si="0"/>
        <v>0</v>
      </c>
      <c r="F44" s="1929">
        <f t="shared" si="1"/>
        <v>0</v>
      </c>
      <c r="G44" s="1790">
        <f t="shared" si="2"/>
        <v>0</v>
      </c>
    </row>
    <row r="45" spans="1:7" x14ac:dyDescent="0.25">
      <c r="A45" s="1650"/>
      <c r="B45" s="1932"/>
      <c r="C45" s="1651"/>
      <c r="D45" s="1841"/>
      <c r="E45" s="1537">
        <f t="shared" si="0"/>
        <v>0</v>
      </c>
      <c r="F45" s="1929">
        <f t="shared" si="1"/>
        <v>0</v>
      </c>
      <c r="G45" s="1790">
        <f t="shared" si="2"/>
        <v>0</v>
      </c>
    </row>
    <row r="46" spans="1:7" x14ac:dyDescent="0.25">
      <c r="A46" s="1650"/>
      <c r="B46" s="1664"/>
      <c r="C46" s="1651"/>
      <c r="D46" s="1841"/>
      <c r="E46" s="1537">
        <f t="shared" si="0"/>
        <v>0</v>
      </c>
      <c r="F46" s="1929">
        <f t="shared" si="1"/>
        <v>0</v>
      </c>
      <c r="G46" s="1790">
        <f t="shared" si="2"/>
        <v>0</v>
      </c>
    </row>
    <row r="47" spans="1:7" x14ac:dyDescent="0.25">
      <c r="A47" s="1650"/>
      <c r="B47" s="1664"/>
      <c r="C47" s="1651"/>
      <c r="D47" s="1841"/>
      <c r="E47" s="1537">
        <f t="shared" si="0"/>
        <v>0</v>
      </c>
      <c r="F47" s="1929">
        <f t="shared" si="1"/>
        <v>0</v>
      </c>
      <c r="G47" s="1790">
        <f t="shared" si="2"/>
        <v>0</v>
      </c>
    </row>
    <row r="48" spans="1:7" x14ac:dyDescent="0.25">
      <c r="A48" s="1650"/>
      <c r="B48" s="1664"/>
      <c r="C48" s="1651"/>
      <c r="D48" s="1841"/>
      <c r="E48" s="1537">
        <f t="shared" si="0"/>
        <v>0</v>
      </c>
      <c r="F48" s="1929">
        <f t="shared" si="1"/>
        <v>0</v>
      </c>
      <c r="G48" s="1790">
        <f t="shared" si="2"/>
        <v>0</v>
      </c>
    </row>
    <row r="49" spans="1:7" x14ac:dyDescent="0.25">
      <c r="A49" s="1650"/>
      <c r="B49" s="1664"/>
      <c r="C49" s="1651"/>
      <c r="D49" s="1841"/>
      <c r="E49" s="1537">
        <f t="shared" si="0"/>
        <v>0</v>
      </c>
      <c r="F49" s="1929">
        <f t="shared" si="1"/>
        <v>0</v>
      </c>
      <c r="G49" s="1790">
        <f t="shared" si="2"/>
        <v>0</v>
      </c>
    </row>
    <row r="50" spans="1:7" x14ac:dyDescent="0.25">
      <c r="A50" s="1650"/>
      <c r="B50" s="1664"/>
      <c r="C50" s="1651"/>
      <c r="D50" s="1841"/>
      <c r="E50" s="1537">
        <f t="shared" si="0"/>
        <v>0</v>
      </c>
      <c r="F50" s="1929">
        <f t="shared" si="1"/>
        <v>0</v>
      </c>
      <c r="G50" s="1790">
        <f t="shared" si="2"/>
        <v>0</v>
      </c>
    </row>
    <row r="51" spans="1:7" x14ac:dyDescent="0.25">
      <c r="A51" s="1650"/>
      <c r="B51" s="1664"/>
      <c r="C51" s="1651"/>
      <c r="D51" s="1841"/>
      <c r="E51" s="1537">
        <f t="shared" si="0"/>
        <v>0</v>
      </c>
      <c r="F51" s="1929">
        <f t="shared" si="1"/>
        <v>0</v>
      </c>
      <c r="G51" s="1790">
        <f t="shared" si="2"/>
        <v>0</v>
      </c>
    </row>
    <row r="52" spans="1:7" x14ac:dyDescent="0.25">
      <c r="A52" s="1650"/>
      <c r="B52" s="1664"/>
      <c r="C52" s="1651"/>
      <c r="D52" s="1841"/>
      <c r="E52" s="1537">
        <f t="shared" si="0"/>
        <v>0</v>
      </c>
      <c r="F52" s="1929">
        <f t="shared" si="1"/>
        <v>0</v>
      </c>
      <c r="G52" s="1790">
        <f t="shared" si="2"/>
        <v>0</v>
      </c>
    </row>
    <row r="53" spans="1:7" x14ac:dyDescent="0.25">
      <c r="A53" s="1650"/>
      <c r="B53" s="1664"/>
      <c r="C53" s="1651"/>
      <c r="D53" s="1841"/>
      <c r="E53" s="1537">
        <f t="shared" si="0"/>
        <v>0</v>
      </c>
      <c r="F53" s="1929">
        <f t="shared" si="1"/>
        <v>0</v>
      </c>
      <c r="G53" s="1790">
        <f t="shared" si="2"/>
        <v>0</v>
      </c>
    </row>
    <row r="54" spans="1:7" x14ac:dyDescent="0.25">
      <c r="A54" s="1650"/>
      <c r="B54" s="1664"/>
      <c r="C54" s="1651"/>
      <c r="D54" s="1841"/>
      <c r="E54" s="1537">
        <f t="shared" si="0"/>
        <v>0</v>
      </c>
      <c r="F54" s="1929">
        <f t="shared" si="1"/>
        <v>0</v>
      </c>
      <c r="G54" s="1790">
        <f t="shared" si="2"/>
        <v>0</v>
      </c>
    </row>
    <row r="55" spans="1:7" x14ac:dyDescent="0.25">
      <c r="A55" s="1650"/>
      <c r="B55" s="1664"/>
      <c r="C55" s="1651"/>
      <c r="D55" s="1841"/>
      <c r="E55" s="1537">
        <f t="shared" si="0"/>
        <v>0</v>
      </c>
      <c r="F55" s="1929">
        <f t="shared" si="1"/>
        <v>0</v>
      </c>
      <c r="G55" s="1790">
        <f t="shared" si="2"/>
        <v>0</v>
      </c>
    </row>
    <row r="56" spans="1:7" x14ac:dyDescent="0.25">
      <c r="A56" s="1650"/>
      <c r="B56" s="1664"/>
      <c r="C56" s="1651"/>
      <c r="D56" s="1841"/>
      <c r="E56" s="1537">
        <f t="shared" si="0"/>
        <v>0</v>
      </c>
      <c r="F56" s="1929">
        <f t="shared" si="1"/>
        <v>0</v>
      </c>
      <c r="G56" s="1790">
        <f t="shared" si="2"/>
        <v>0</v>
      </c>
    </row>
    <row r="57" spans="1:7" x14ac:dyDescent="0.25">
      <c r="A57" s="1650"/>
      <c r="B57" s="1664"/>
      <c r="C57" s="1651"/>
      <c r="D57" s="1841"/>
      <c r="E57" s="1537">
        <f t="shared" si="0"/>
        <v>0</v>
      </c>
      <c r="F57" s="1929">
        <f t="shared" si="1"/>
        <v>0</v>
      </c>
      <c r="G57" s="1790">
        <f t="shared" si="2"/>
        <v>0</v>
      </c>
    </row>
    <row r="58" spans="1:7" x14ac:dyDescent="0.25">
      <c r="A58" s="1650"/>
      <c r="B58" s="1664"/>
      <c r="C58" s="1651"/>
      <c r="D58" s="1841"/>
      <c r="E58" s="1537">
        <f t="shared" si="0"/>
        <v>0</v>
      </c>
      <c r="F58" s="1929">
        <f t="shared" si="1"/>
        <v>0</v>
      </c>
      <c r="G58" s="1790">
        <f t="shared" si="2"/>
        <v>0</v>
      </c>
    </row>
    <row r="59" spans="1:7" x14ac:dyDescent="0.25">
      <c r="A59" s="1650"/>
      <c r="B59" s="1664"/>
      <c r="C59" s="1651"/>
      <c r="D59" s="1841"/>
      <c r="E59" s="1537">
        <f t="shared" si="0"/>
        <v>0</v>
      </c>
      <c r="F59" s="1929">
        <f t="shared" si="1"/>
        <v>0</v>
      </c>
      <c r="G59" s="1790">
        <f t="shared" si="2"/>
        <v>0</v>
      </c>
    </row>
    <row r="60" spans="1:7" x14ac:dyDescent="0.25">
      <c r="A60" s="1650"/>
      <c r="B60" s="1664"/>
      <c r="C60" s="1651"/>
      <c r="D60" s="1841"/>
      <c r="E60" s="1537">
        <f t="shared" si="0"/>
        <v>0</v>
      </c>
      <c r="F60" s="1929">
        <f t="shared" si="1"/>
        <v>0</v>
      </c>
      <c r="G60" s="1790">
        <f t="shared" si="2"/>
        <v>0</v>
      </c>
    </row>
    <row r="61" spans="1:7" x14ac:dyDescent="0.25">
      <c r="A61" s="1650"/>
      <c r="B61" s="1664"/>
      <c r="C61" s="1651"/>
      <c r="D61" s="1841"/>
      <c r="E61" s="1537">
        <f t="shared" si="0"/>
        <v>0</v>
      </c>
      <c r="F61" s="1929">
        <f t="shared" si="1"/>
        <v>0</v>
      </c>
      <c r="G61" s="1790">
        <f t="shared" si="2"/>
        <v>0</v>
      </c>
    </row>
    <row r="62" spans="1:7" x14ac:dyDescent="0.25">
      <c r="A62" s="1650"/>
      <c r="B62" s="1664"/>
      <c r="C62" s="1651"/>
      <c r="D62" s="1841"/>
      <c r="E62" s="1537">
        <f t="shared" si="0"/>
        <v>0</v>
      </c>
      <c r="F62" s="1929">
        <f t="shared" si="1"/>
        <v>0</v>
      </c>
      <c r="G62" s="1790">
        <f t="shared" si="2"/>
        <v>0</v>
      </c>
    </row>
    <row r="63" spans="1:7" x14ac:dyDescent="0.25">
      <c r="A63" s="1650"/>
      <c r="B63" s="1664"/>
      <c r="C63" s="1651"/>
      <c r="D63" s="1841"/>
      <c r="E63" s="1537">
        <f t="shared" si="0"/>
        <v>0</v>
      </c>
      <c r="F63" s="1929">
        <f t="shared" si="1"/>
        <v>0</v>
      </c>
      <c r="G63" s="1790">
        <f t="shared" si="2"/>
        <v>0</v>
      </c>
    </row>
    <row r="64" spans="1:7" x14ac:dyDescent="0.25">
      <c r="A64" s="1652"/>
      <c r="B64" s="1664"/>
      <c r="C64" s="1653"/>
      <c r="D64" s="1841"/>
      <c r="E64" s="1537">
        <f t="shared" si="0"/>
        <v>0</v>
      </c>
      <c r="F64" s="1929">
        <f t="shared" si="1"/>
        <v>0</v>
      </c>
      <c r="G64" s="1790">
        <f t="shared" si="2"/>
        <v>0</v>
      </c>
    </row>
    <row r="65" spans="1:7" x14ac:dyDescent="0.25">
      <c r="A65" s="1650"/>
      <c r="B65" s="1664"/>
      <c r="C65" s="1651"/>
      <c r="D65" s="1841"/>
      <c r="E65" s="1537">
        <f t="shared" si="0"/>
        <v>0</v>
      </c>
      <c r="F65" s="1929">
        <f t="shared" si="1"/>
        <v>0</v>
      </c>
      <c r="G65" s="1790">
        <f t="shared" si="2"/>
        <v>0</v>
      </c>
    </row>
    <row r="66" spans="1:7" x14ac:dyDescent="0.25">
      <c r="A66" s="1650"/>
      <c r="B66" s="1664"/>
      <c r="C66" s="1651"/>
      <c r="D66" s="1841"/>
      <c r="E66" s="1537">
        <f t="shared" si="0"/>
        <v>0</v>
      </c>
      <c r="F66" s="1929">
        <f t="shared" si="1"/>
        <v>0</v>
      </c>
      <c r="G66" s="1790">
        <f t="shared" si="2"/>
        <v>0</v>
      </c>
    </row>
    <row r="67" spans="1:7" x14ac:dyDescent="0.25">
      <c r="A67" s="1650"/>
      <c r="B67" s="1664"/>
      <c r="C67" s="1651"/>
      <c r="D67" s="1841"/>
      <c r="E67" s="1537">
        <f t="shared" si="0"/>
        <v>0</v>
      </c>
      <c r="F67" s="1929">
        <f t="shared" si="1"/>
        <v>0</v>
      </c>
      <c r="G67" s="1790">
        <f t="shared" si="2"/>
        <v>0</v>
      </c>
    </row>
    <row r="68" spans="1:7" x14ac:dyDescent="0.25">
      <c r="A68" s="1650"/>
      <c r="B68" s="1664"/>
      <c r="C68" s="1651"/>
      <c r="D68" s="1841"/>
      <c r="E68" s="1537">
        <f t="shared" si="0"/>
        <v>0</v>
      </c>
      <c r="F68" s="1929">
        <f t="shared" si="1"/>
        <v>0</v>
      </c>
      <c r="G68" s="1790">
        <f t="shared" si="2"/>
        <v>0</v>
      </c>
    </row>
    <row r="69" spans="1:7" x14ac:dyDescent="0.25">
      <c r="A69" s="1650"/>
      <c r="B69" s="1664"/>
      <c r="C69" s="1651"/>
      <c r="D69" s="1841"/>
      <c r="E69" s="1537">
        <f t="shared" si="0"/>
        <v>0</v>
      </c>
      <c r="F69" s="1929">
        <f t="shared" si="1"/>
        <v>0</v>
      </c>
      <c r="G69" s="1790">
        <f t="shared" si="2"/>
        <v>0</v>
      </c>
    </row>
    <row r="70" spans="1:7" x14ac:dyDescent="0.25">
      <c r="A70" s="1650"/>
      <c r="B70" s="1664"/>
      <c r="C70" s="1651"/>
      <c r="D70" s="1841"/>
      <c r="E70" s="1537">
        <f t="shared" si="0"/>
        <v>0</v>
      </c>
      <c r="F70" s="1929">
        <f t="shared" si="1"/>
        <v>0</v>
      </c>
      <c r="G70" s="1790">
        <f t="shared" si="2"/>
        <v>0</v>
      </c>
    </row>
    <row r="71" spans="1:7" x14ac:dyDescent="0.25">
      <c r="A71" s="1650"/>
      <c r="B71" s="1664"/>
      <c r="C71" s="1651"/>
      <c r="D71" s="1841"/>
      <c r="E71" s="1537">
        <f t="shared" si="0"/>
        <v>0</v>
      </c>
      <c r="F71" s="1929">
        <f t="shared" si="1"/>
        <v>0</v>
      </c>
      <c r="G71" s="1790">
        <f t="shared" si="2"/>
        <v>0</v>
      </c>
    </row>
    <row r="72" spans="1:7" x14ac:dyDescent="0.25">
      <c r="A72" s="1650"/>
      <c r="B72" s="1664"/>
      <c r="C72" s="1651"/>
      <c r="D72" s="1841"/>
      <c r="E72" s="1537">
        <f t="shared" si="0"/>
        <v>0</v>
      </c>
      <c r="F72" s="1929">
        <f t="shared" si="1"/>
        <v>0</v>
      </c>
      <c r="G72" s="1790">
        <f t="shared" si="2"/>
        <v>0</v>
      </c>
    </row>
    <row r="73" spans="1:7" x14ac:dyDescent="0.25">
      <c r="A73" s="1650"/>
      <c r="B73" s="1664"/>
      <c r="C73" s="1651"/>
      <c r="D73" s="1841"/>
      <c r="E73" s="1537">
        <f t="shared" ref="E73:E84" si="3">IF(D73&lt;=25000,D73,IF(D73&gt;25000,25000,0))</f>
        <v>0</v>
      </c>
      <c r="F73" s="1929">
        <f t="shared" si="1"/>
        <v>0</v>
      </c>
      <c r="G73" s="1790">
        <f t="shared" ref="G73:G84" si="4">IF(F73=0,0,D73-F73)</f>
        <v>0</v>
      </c>
    </row>
    <row r="74" spans="1:7" x14ac:dyDescent="0.25">
      <c r="A74" s="1650"/>
      <c r="B74" s="1664"/>
      <c r="C74" s="1651"/>
      <c r="D74" s="1841"/>
      <c r="E74" s="1537">
        <f t="shared" si="3"/>
        <v>0</v>
      </c>
      <c r="F74" s="1929">
        <f t="shared" si="1"/>
        <v>0</v>
      </c>
      <c r="G74" s="1790">
        <f t="shared" si="4"/>
        <v>0</v>
      </c>
    </row>
    <row r="75" spans="1:7" x14ac:dyDescent="0.25">
      <c r="A75" s="1650"/>
      <c r="B75" s="1664"/>
      <c r="C75" s="1651"/>
      <c r="D75" s="1841"/>
      <c r="E75" s="1537">
        <f t="shared" si="3"/>
        <v>0</v>
      </c>
      <c r="F75" s="1929">
        <f t="shared" si="1"/>
        <v>0</v>
      </c>
      <c r="G75" s="1790">
        <f t="shared" si="4"/>
        <v>0</v>
      </c>
    </row>
    <row r="76" spans="1:7" x14ac:dyDescent="0.25">
      <c r="A76" s="1650"/>
      <c r="B76" s="1664"/>
      <c r="C76" s="1651"/>
      <c r="D76" s="1841"/>
      <c r="E76" s="1537">
        <f t="shared" si="3"/>
        <v>0</v>
      </c>
      <c r="F76" s="1929">
        <f t="shared" si="1"/>
        <v>0</v>
      </c>
      <c r="G76" s="1790">
        <f t="shared" si="4"/>
        <v>0</v>
      </c>
    </row>
    <row r="77" spans="1:7" x14ac:dyDescent="0.25">
      <c r="A77" s="1650"/>
      <c r="B77" s="1664"/>
      <c r="C77" s="1651"/>
      <c r="D77" s="1841"/>
      <c r="E77" s="1537">
        <f t="shared" si="3"/>
        <v>0</v>
      </c>
      <c r="F77" s="1929">
        <f t="shared" si="1"/>
        <v>0</v>
      </c>
      <c r="G77" s="1790">
        <f t="shared" si="4"/>
        <v>0</v>
      </c>
    </row>
    <row r="78" spans="1:7" x14ac:dyDescent="0.25">
      <c r="A78" s="1650"/>
      <c r="B78" s="1664"/>
      <c r="C78" s="1651"/>
      <c r="D78" s="1841"/>
      <c r="E78" s="1537">
        <f t="shared" si="3"/>
        <v>0</v>
      </c>
      <c r="F78" s="1929">
        <f t="shared" si="1"/>
        <v>0</v>
      </c>
      <c r="G78" s="1790">
        <f t="shared" si="4"/>
        <v>0</v>
      </c>
    </row>
    <row r="79" spans="1:7" x14ac:dyDescent="0.25">
      <c r="A79" s="1650"/>
      <c r="B79" s="1664"/>
      <c r="C79" s="1651"/>
      <c r="D79" s="1841"/>
      <c r="E79" s="1537">
        <f t="shared" si="3"/>
        <v>0</v>
      </c>
      <c r="F79" s="1929">
        <f t="shared" si="1"/>
        <v>0</v>
      </c>
      <c r="G79" s="1790">
        <f t="shared" si="4"/>
        <v>0</v>
      </c>
    </row>
    <row r="80" spans="1:7" x14ac:dyDescent="0.25">
      <c r="A80" s="1650"/>
      <c r="B80" s="1664"/>
      <c r="C80" s="1651"/>
      <c r="D80" s="1841"/>
      <c r="E80" s="1537">
        <f t="shared" si="3"/>
        <v>0</v>
      </c>
      <c r="F80" s="1929">
        <f t="shared" si="1"/>
        <v>0</v>
      </c>
      <c r="G80" s="1790">
        <f t="shared" si="4"/>
        <v>0</v>
      </c>
    </row>
    <row r="81" spans="1:7" x14ac:dyDescent="0.25">
      <c r="A81" s="1650"/>
      <c r="B81" s="1664"/>
      <c r="C81" s="1651"/>
      <c r="D81" s="1841"/>
      <c r="E81" s="1537">
        <f t="shared" si="3"/>
        <v>0</v>
      </c>
      <c r="F81" s="1929">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4"/>
        <v>0</v>
      </c>
    </row>
    <row r="82" spans="1:7" x14ac:dyDescent="0.25">
      <c r="A82" s="1650"/>
      <c r="B82" s="1664"/>
      <c r="C82" s="1651"/>
      <c r="D82" s="1841"/>
      <c r="E82" s="1537">
        <f t="shared" si="3"/>
        <v>0</v>
      </c>
      <c r="F82" s="1929">
        <f t="shared" si="5"/>
        <v>0</v>
      </c>
      <c r="G82" s="1790">
        <f t="shared" si="4"/>
        <v>0</v>
      </c>
    </row>
    <row r="83" spans="1:7" x14ac:dyDescent="0.25">
      <c r="A83" s="1650"/>
      <c r="B83" s="1664"/>
      <c r="C83" s="1651"/>
      <c r="D83" s="1841"/>
      <c r="E83" s="1537">
        <f t="shared" si="3"/>
        <v>0</v>
      </c>
      <c r="F83" s="1929">
        <f t="shared" si="5"/>
        <v>0</v>
      </c>
      <c r="G83" s="1790">
        <f t="shared" si="4"/>
        <v>0</v>
      </c>
    </row>
    <row r="84" spans="1:7" x14ac:dyDescent="0.25">
      <c r="A84" s="1650"/>
      <c r="B84" s="1664"/>
      <c r="C84" s="1651"/>
      <c r="D84" s="1841"/>
      <c r="E84" s="1537">
        <f t="shared" si="3"/>
        <v>0</v>
      </c>
      <c r="F84" s="1929">
        <f t="shared" si="5"/>
        <v>0</v>
      </c>
      <c r="G84" s="1790">
        <f t="shared" si="4"/>
        <v>0</v>
      </c>
    </row>
    <row r="85" spans="1:7" x14ac:dyDescent="0.25">
      <c r="A85" s="1650"/>
      <c r="B85" s="1664"/>
      <c r="C85" s="1651"/>
      <c r="D85" s="1841"/>
      <c r="E85" s="1537">
        <f t="shared" si="0"/>
        <v>0</v>
      </c>
      <c r="F85" s="1929">
        <f t="shared" si="5"/>
        <v>0</v>
      </c>
      <c r="G85" s="1790">
        <f t="shared" si="2"/>
        <v>0</v>
      </c>
    </row>
    <row r="86" spans="1:7" x14ac:dyDescent="0.25">
      <c r="A86" s="1650"/>
      <c r="B86" s="1664"/>
      <c r="C86" s="1651"/>
      <c r="D86" s="1841"/>
      <c r="E86" s="1537">
        <f t="shared" si="0"/>
        <v>0</v>
      </c>
      <c r="F86" s="1929">
        <f t="shared" si="5"/>
        <v>0</v>
      </c>
      <c r="G86" s="1790">
        <f t="shared" si="2"/>
        <v>0</v>
      </c>
    </row>
    <row r="87" spans="1:7" x14ac:dyDescent="0.25">
      <c r="A87" s="1650"/>
      <c r="B87" s="1664"/>
      <c r="C87" s="1651"/>
      <c r="D87" s="1841"/>
      <c r="E87" s="1537">
        <f t="shared" si="0"/>
        <v>0</v>
      </c>
      <c r="F87" s="1929">
        <f t="shared" si="5"/>
        <v>0</v>
      </c>
      <c r="G87" s="1790">
        <f t="shared" si="2"/>
        <v>0</v>
      </c>
    </row>
    <row r="88" spans="1:7" x14ac:dyDescent="0.25">
      <c r="A88" s="1650"/>
      <c r="B88" s="1664"/>
      <c r="C88" s="1651"/>
      <c r="D88" s="1841"/>
      <c r="E88" s="1537">
        <f t="shared" si="0"/>
        <v>0</v>
      </c>
      <c r="F88" s="1929">
        <f t="shared" si="5"/>
        <v>0</v>
      </c>
      <c r="G88" s="1790">
        <f t="shared" si="2"/>
        <v>0</v>
      </c>
    </row>
    <row r="89" spans="1:7" x14ac:dyDescent="0.25">
      <c r="A89" s="1650"/>
      <c r="B89" s="1664"/>
      <c r="C89" s="1651"/>
      <c r="D89" s="1841"/>
      <c r="E89" s="1537">
        <f t="shared" si="0"/>
        <v>0</v>
      </c>
      <c r="F89" s="1929">
        <f t="shared" si="5"/>
        <v>0</v>
      </c>
      <c r="G89" s="1790">
        <f t="shared" si="2"/>
        <v>0</v>
      </c>
    </row>
    <row r="90" spans="1:7" x14ac:dyDescent="0.25">
      <c r="A90" s="1650"/>
      <c r="B90" s="1664"/>
      <c r="C90" s="1651"/>
      <c r="D90" s="1841"/>
      <c r="E90" s="1537">
        <f t="shared" si="0"/>
        <v>0</v>
      </c>
      <c r="F90" s="1929">
        <f t="shared" si="5"/>
        <v>0</v>
      </c>
      <c r="G90" s="1790">
        <f t="shared" si="2"/>
        <v>0</v>
      </c>
    </row>
    <row r="91" spans="1:7" x14ac:dyDescent="0.25">
      <c r="A91" s="1650"/>
      <c r="B91" s="1664"/>
      <c r="C91" s="1651"/>
      <c r="D91" s="1841"/>
      <c r="E91" s="1537">
        <f t="shared" si="0"/>
        <v>0</v>
      </c>
      <c r="F91" s="1929">
        <f t="shared" si="5"/>
        <v>0</v>
      </c>
      <c r="G91" s="1790">
        <f t="shared" si="2"/>
        <v>0</v>
      </c>
    </row>
    <row r="92" spans="1:7" x14ac:dyDescent="0.25">
      <c r="A92" s="1650"/>
      <c r="B92" s="1664"/>
      <c r="C92" s="1651"/>
      <c r="D92" s="1841"/>
      <c r="E92" s="1537">
        <f t="shared" si="0"/>
        <v>0</v>
      </c>
      <c r="F92" s="1929">
        <f t="shared" si="5"/>
        <v>0</v>
      </c>
      <c r="G92" s="1790">
        <f t="shared" si="2"/>
        <v>0</v>
      </c>
    </row>
    <row r="93" spans="1:7" x14ac:dyDescent="0.25">
      <c r="A93" s="1650"/>
      <c r="B93" s="1664"/>
      <c r="C93" s="1651"/>
      <c r="D93" s="1841"/>
      <c r="E93" s="1537">
        <f t="shared" ref="E93" si="6">IF(D93&lt;=25000,D93,IF(D93&gt;25000,25000,0))</f>
        <v>0</v>
      </c>
      <c r="F93" s="1929">
        <f t="shared" si="5"/>
        <v>0</v>
      </c>
      <c r="G93" s="1790">
        <f t="shared" ref="G93" si="7">IF(F93=0,0,D93-F93)</f>
        <v>0</v>
      </c>
    </row>
    <row r="94" spans="1:7" x14ac:dyDescent="0.25">
      <c r="A94" s="1650"/>
      <c r="B94" s="1664"/>
      <c r="C94" s="1651"/>
      <c r="D94" s="1841"/>
      <c r="E94" s="1537">
        <f t="shared" si="0"/>
        <v>0</v>
      </c>
      <c r="F94" s="1929">
        <f t="shared" si="5"/>
        <v>0</v>
      </c>
      <c r="G94" s="1790">
        <f t="shared" si="2"/>
        <v>0</v>
      </c>
    </row>
    <row r="95" spans="1:7" x14ac:dyDescent="0.25">
      <c r="A95" s="1650"/>
      <c r="B95" s="1664"/>
      <c r="C95" s="1651"/>
      <c r="D95" s="1841"/>
      <c r="E95" s="1537">
        <f t="shared" ref="E95:E98" si="8">IF(D95&lt;=25000,D95,IF(D95&gt;25000,25000,0))</f>
        <v>0</v>
      </c>
      <c r="F95" s="1929">
        <f t="shared" si="5"/>
        <v>0</v>
      </c>
      <c r="G95" s="1790">
        <f t="shared" ref="G95:G98" si="9">IF(F95=0,0,D95-F95)</f>
        <v>0</v>
      </c>
    </row>
    <row r="96" spans="1:7" x14ac:dyDescent="0.25">
      <c r="A96" s="1650"/>
      <c r="B96" s="1664"/>
      <c r="C96" s="1651"/>
      <c r="D96" s="1841"/>
      <c r="E96" s="1537">
        <f t="shared" si="8"/>
        <v>0</v>
      </c>
      <c r="F96" s="1929">
        <f t="shared" si="5"/>
        <v>0</v>
      </c>
      <c r="G96" s="1790">
        <f t="shared" si="9"/>
        <v>0</v>
      </c>
    </row>
    <row r="97" spans="1:7" x14ac:dyDescent="0.25">
      <c r="A97" s="1650"/>
      <c r="B97" s="1664"/>
      <c r="C97" s="1651"/>
      <c r="D97" s="1841"/>
      <c r="E97" s="1537">
        <f t="shared" si="8"/>
        <v>0</v>
      </c>
      <c r="F97" s="1929">
        <f t="shared" si="5"/>
        <v>0</v>
      </c>
      <c r="G97" s="1790">
        <f t="shared" si="9"/>
        <v>0</v>
      </c>
    </row>
    <row r="98" spans="1:7" x14ac:dyDescent="0.25">
      <c r="A98" s="1650"/>
      <c r="B98" s="1664"/>
      <c r="C98" s="1651"/>
      <c r="D98" s="1841"/>
      <c r="E98" s="1537">
        <f t="shared" si="8"/>
        <v>0</v>
      </c>
      <c r="F98" s="1929">
        <f t="shared" si="5"/>
        <v>0</v>
      </c>
      <c r="G98" s="1790">
        <f t="shared" si="9"/>
        <v>0</v>
      </c>
    </row>
    <row r="99" spans="1:7" x14ac:dyDescent="0.25">
      <c r="A99" s="1650"/>
      <c r="B99" s="1664"/>
      <c r="C99" s="1651"/>
      <c r="D99" s="1841"/>
      <c r="E99" s="1537">
        <f t="shared" ref="E99" si="10">IF(D99&lt;=25000,D99,IF(D99&gt;25000,25000,0))</f>
        <v>0</v>
      </c>
      <c r="F99" s="1929">
        <f t="shared" si="5"/>
        <v>0</v>
      </c>
      <c r="G99" s="1790">
        <f t="shared" ref="G99" si="11">IF(F99=0,0,D99-F99)</f>
        <v>0</v>
      </c>
    </row>
    <row r="100" spans="1:7" x14ac:dyDescent="0.25">
      <c r="A100" s="1650"/>
      <c r="B100" s="1664"/>
      <c r="C100" s="1651"/>
      <c r="D100" s="1841"/>
      <c r="E100" s="1537">
        <f t="shared" ref="E100:E112" si="12">IF(D100&lt;=25000,D100,IF(D100&gt;25000,25000,0))</f>
        <v>0</v>
      </c>
      <c r="F100" s="1929">
        <f t="shared" si="5"/>
        <v>0</v>
      </c>
      <c r="G100" s="1790">
        <f t="shared" ref="G100:G112" si="13">IF(F100=0,0,D100-F100)</f>
        <v>0</v>
      </c>
    </row>
    <row r="101" spans="1:7" x14ac:dyDescent="0.25">
      <c r="A101" s="1650"/>
      <c r="B101" s="1664"/>
      <c r="C101" s="1651"/>
      <c r="D101" s="1841"/>
      <c r="E101" s="1537">
        <f t="shared" si="12"/>
        <v>0</v>
      </c>
      <c r="F101" s="1929">
        <f t="shared" si="5"/>
        <v>0</v>
      </c>
      <c r="G101" s="1790">
        <f t="shared" si="13"/>
        <v>0</v>
      </c>
    </row>
    <row r="102" spans="1:7" x14ac:dyDescent="0.25">
      <c r="A102" s="1650"/>
      <c r="B102" s="1664"/>
      <c r="C102" s="1651"/>
      <c r="D102" s="1841"/>
      <c r="E102" s="1537">
        <f t="shared" si="12"/>
        <v>0</v>
      </c>
      <c r="F102" s="1929">
        <f t="shared" si="5"/>
        <v>0</v>
      </c>
      <c r="G102" s="1790">
        <f t="shared" si="13"/>
        <v>0</v>
      </c>
    </row>
    <row r="103" spans="1:7" x14ac:dyDescent="0.25">
      <c r="A103" s="1650"/>
      <c r="B103" s="1664"/>
      <c r="C103" s="1651"/>
      <c r="D103" s="1841"/>
      <c r="E103" s="1537">
        <f t="shared" si="12"/>
        <v>0</v>
      </c>
      <c r="F103" s="1929">
        <f t="shared" si="5"/>
        <v>0</v>
      </c>
      <c r="G103" s="1790">
        <f t="shared" si="13"/>
        <v>0</v>
      </c>
    </row>
    <row r="104" spans="1:7" x14ac:dyDescent="0.25">
      <c r="A104" s="1650"/>
      <c r="B104" s="1664"/>
      <c r="C104" s="1651"/>
      <c r="D104" s="1841"/>
      <c r="E104" s="1537">
        <f t="shared" si="12"/>
        <v>0</v>
      </c>
      <c r="F104" s="1929">
        <f t="shared" si="5"/>
        <v>0</v>
      </c>
      <c r="G104" s="1790">
        <f t="shared" si="13"/>
        <v>0</v>
      </c>
    </row>
    <row r="105" spans="1:7" x14ac:dyDescent="0.25">
      <c r="A105" s="1650"/>
      <c r="B105" s="1664"/>
      <c r="C105" s="1651"/>
      <c r="D105" s="1841"/>
      <c r="E105" s="1537">
        <f t="shared" si="12"/>
        <v>0</v>
      </c>
      <c r="F105" s="1929">
        <f t="shared" si="5"/>
        <v>0</v>
      </c>
      <c r="G105" s="1790">
        <f t="shared" si="13"/>
        <v>0</v>
      </c>
    </row>
    <row r="106" spans="1:7" x14ac:dyDescent="0.25">
      <c r="A106" s="1650"/>
      <c r="B106" s="1664"/>
      <c r="C106" s="1651"/>
      <c r="D106" s="1841"/>
      <c r="E106" s="1537">
        <f t="shared" si="12"/>
        <v>0</v>
      </c>
      <c r="F106" s="1929">
        <f t="shared" si="5"/>
        <v>0</v>
      </c>
      <c r="G106" s="1790">
        <f t="shared" si="13"/>
        <v>0</v>
      </c>
    </row>
    <row r="107" spans="1:7" x14ac:dyDescent="0.25">
      <c r="A107" s="1650"/>
      <c r="B107" s="1664"/>
      <c r="C107" s="1651"/>
      <c r="D107" s="1841"/>
      <c r="E107" s="1537">
        <f t="shared" si="12"/>
        <v>0</v>
      </c>
      <c r="F107" s="1929">
        <f t="shared" si="5"/>
        <v>0</v>
      </c>
      <c r="G107" s="1790">
        <f t="shared" si="13"/>
        <v>0</v>
      </c>
    </row>
    <row r="108" spans="1:7" x14ac:dyDescent="0.25">
      <c r="A108" s="1650"/>
      <c r="B108" s="1664"/>
      <c r="C108" s="1651"/>
      <c r="D108" s="1841"/>
      <c r="E108" s="1537">
        <f t="shared" si="12"/>
        <v>0</v>
      </c>
      <c r="F108" s="1929">
        <f t="shared" si="5"/>
        <v>0</v>
      </c>
      <c r="G108" s="1790">
        <f t="shared" si="13"/>
        <v>0</v>
      </c>
    </row>
    <row r="109" spans="1:7" x14ac:dyDescent="0.25">
      <c r="A109" s="1650"/>
      <c r="B109" s="1664"/>
      <c r="C109" s="1651"/>
      <c r="D109" s="1841"/>
      <c r="E109" s="1537">
        <f t="shared" si="12"/>
        <v>0</v>
      </c>
      <c r="F109" s="1929">
        <f t="shared" si="5"/>
        <v>0</v>
      </c>
      <c r="G109" s="1790">
        <f t="shared" si="13"/>
        <v>0</v>
      </c>
    </row>
    <row r="110" spans="1:7" x14ac:dyDescent="0.25">
      <c r="A110" s="1650"/>
      <c r="B110" s="1664"/>
      <c r="C110" s="1651"/>
      <c r="D110" s="1841"/>
      <c r="E110" s="1537">
        <f t="shared" si="12"/>
        <v>0</v>
      </c>
      <c r="F110" s="1929">
        <f t="shared" si="5"/>
        <v>0</v>
      </c>
      <c r="G110" s="1790">
        <f t="shared" si="13"/>
        <v>0</v>
      </c>
    </row>
    <row r="111" spans="1:7" x14ac:dyDescent="0.25">
      <c r="A111" s="1650"/>
      <c r="B111" s="1664"/>
      <c r="C111" s="1651"/>
      <c r="D111" s="1841"/>
      <c r="E111" s="1537">
        <f t="shared" si="12"/>
        <v>0</v>
      </c>
      <c r="F111" s="1929">
        <f t="shared" si="5"/>
        <v>0</v>
      </c>
      <c r="G111" s="1790">
        <f t="shared" si="13"/>
        <v>0</v>
      </c>
    </row>
    <row r="112" spans="1:7" x14ac:dyDescent="0.25">
      <c r="A112" s="1650"/>
      <c r="B112" s="1664"/>
      <c r="C112" s="1651"/>
      <c r="D112" s="1841"/>
      <c r="E112" s="1537">
        <f t="shared" si="12"/>
        <v>0</v>
      </c>
      <c r="F112" s="1929">
        <f t="shared" si="5"/>
        <v>0</v>
      </c>
      <c r="G112" s="1790">
        <f t="shared" si="13"/>
        <v>0</v>
      </c>
    </row>
    <row r="113" spans="1:7" x14ac:dyDescent="0.25">
      <c r="A113" s="1650"/>
      <c r="B113" s="1664"/>
      <c r="C113" s="1651"/>
      <c r="D113" s="1841"/>
      <c r="E113" s="1537">
        <f t="shared" ref="E113:E125" si="14">IF(D113&lt;=25000,D113,IF(D113&gt;25000,25000,0))</f>
        <v>0</v>
      </c>
      <c r="F113" s="1929">
        <f t="shared" si="5"/>
        <v>0</v>
      </c>
      <c r="G113" s="1790">
        <f t="shared" ref="G113:G125" si="15">IF(F113=0,0,D113-F113)</f>
        <v>0</v>
      </c>
    </row>
    <row r="114" spans="1:7" x14ac:dyDescent="0.25">
      <c r="A114" s="1650"/>
      <c r="B114" s="1664"/>
      <c r="C114" s="1651"/>
      <c r="D114" s="1841"/>
      <c r="E114" s="1537">
        <f t="shared" si="14"/>
        <v>0</v>
      </c>
      <c r="F114" s="1929">
        <f t="shared" si="5"/>
        <v>0</v>
      </c>
      <c r="G114" s="1790">
        <f t="shared" si="15"/>
        <v>0</v>
      </c>
    </row>
    <row r="115" spans="1:7" x14ac:dyDescent="0.25">
      <c r="A115" s="1650"/>
      <c r="B115" s="1664"/>
      <c r="C115" s="1651"/>
      <c r="D115" s="1841"/>
      <c r="E115" s="1537">
        <f t="shared" si="14"/>
        <v>0</v>
      </c>
      <c r="F115" s="1929">
        <f t="shared" si="5"/>
        <v>0</v>
      </c>
      <c r="G115" s="1790">
        <f t="shared" si="15"/>
        <v>0</v>
      </c>
    </row>
    <row r="116" spans="1:7" x14ac:dyDescent="0.25">
      <c r="A116" s="1650"/>
      <c r="B116" s="1664"/>
      <c r="C116" s="1651"/>
      <c r="D116" s="1841"/>
      <c r="E116" s="1537">
        <f t="shared" si="14"/>
        <v>0</v>
      </c>
      <c r="F116" s="1929">
        <f t="shared" si="5"/>
        <v>0</v>
      </c>
      <c r="G116" s="1790">
        <f t="shared" si="15"/>
        <v>0</v>
      </c>
    </row>
    <row r="117" spans="1:7" x14ac:dyDescent="0.25">
      <c r="A117" s="1650"/>
      <c r="B117" s="1664"/>
      <c r="C117" s="1651"/>
      <c r="D117" s="1841"/>
      <c r="E117" s="1537">
        <f t="shared" si="14"/>
        <v>0</v>
      </c>
      <c r="F117" s="1929">
        <f t="shared" si="5"/>
        <v>0</v>
      </c>
      <c r="G117" s="1790">
        <f t="shared" si="15"/>
        <v>0</v>
      </c>
    </row>
    <row r="118" spans="1:7" x14ac:dyDescent="0.25">
      <c r="A118" s="1650"/>
      <c r="B118" s="1664"/>
      <c r="C118" s="1651"/>
      <c r="D118" s="1841"/>
      <c r="E118" s="1537">
        <f t="shared" si="14"/>
        <v>0</v>
      </c>
      <c r="F118" s="1929">
        <f t="shared" si="5"/>
        <v>0</v>
      </c>
      <c r="G118" s="1790">
        <f t="shared" si="15"/>
        <v>0</v>
      </c>
    </row>
    <row r="119" spans="1:7" x14ac:dyDescent="0.25">
      <c r="A119" s="1650"/>
      <c r="B119" s="1664"/>
      <c r="C119" s="1651"/>
      <c r="D119" s="1841"/>
      <c r="E119" s="1537">
        <f t="shared" si="14"/>
        <v>0</v>
      </c>
      <c r="F119" s="1929">
        <f t="shared" si="5"/>
        <v>0</v>
      </c>
      <c r="G119" s="1790">
        <f t="shared" si="15"/>
        <v>0</v>
      </c>
    </row>
    <row r="120" spans="1:7" x14ac:dyDescent="0.25">
      <c r="A120" s="1650"/>
      <c r="B120" s="1664"/>
      <c r="C120" s="1651"/>
      <c r="D120" s="1841"/>
      <c r="E120" s="1537">
        <f t="shared" si="14"/>
        <v>0</v>
      </c>
      <c r="F120" s="1929">
        <f t="shared" si="5"/>
        <v>0</v>
      </c>
      <c r="G120" s="1790">
        <f t="shared" si="15"/>
        <v>0</v>
      </c>
    </row>
    <row r="121" spans="1:7" x14ac:dyDescent="0.25">
      <c r="A121" s="1650"/>
      <c r="B121" s="1664"/>
      <c r="C121" s="1651"/>
      <c r="D121" s="1841"/>
      <c r="E121" s="1537">
        <f t="shared" si="14"/>
        <v>0</v>
      </c>
      <c r="F121" s="1929">
        <f t="shared" si="5"/>
        <v>0</v>
      </c>
      <c r="G121" s="1790">
        <f t="shared" si="15"/>
        <v>0</v>
      </c>
    </row>
    <row r="122" spans="1:7" x14ac:dyDescent="0.25">
      <c r="A122" s="1650"/>
      <c r="B122" s="1664"/>
      <c r="C122" s="1651"/>
      <c r="D122" s="1841"/>
      <c r="E122" s="1537">
        <f t="shared" si="14"/>
        <v>0</v>
      </c>
      <c r="F122" s="1929">
        <f t="shared" si="5"/>
        <v>0</v>
      </c>
      <c r="G122" s="1790">
        <f t="shared" si="15"/>
        <v>0</v>
      </c>
    </row>
    <row r="123" spans="1:7" x14ac:dyDescent="0.25">
      <c r="A123" s="1650"/>
      <c r="B123" s="1664"/>
      <c r="C123" s="1651"/>
      <c r="D123" s="1841"/>
      <c r="E123" s="1537">
        <f t="shared" si="14"/>
        <v>0</v>
      </c>
      <c r="F123" s="1929">
        <f t="shared" si="5"/>
        <v>0</v>
      </c>
      <c r="G123" s="1790">
        <f t="shared" si="15"/>
        <v>0</v>
      </c>
    </row>
    <row r="124" spans="1:7" x14ac:dyDescent="0.25">
      <c r="A124" s="1650"/>
      <c r="B124" s="1664"/>
      <c r="C124" s="1651"/>
      <c r="D124" s="1841"/>
      <c r="E124" s="1537">
        <f t="shared" si="14"/>
        <v>0</v>
      </c>
      <c r="F124" s="1929">
        <f t="shared" si="5"/>
        <v>0</v>
      </c>
      <c r="G124" s="1790">
        <f t="shared" si="15"/>
        <v>0</v>
      </c>
    </row>
    <row r="125" spans="1:7" x14ac:dyDescent="0.25">
      <c r="A125" s="1650"/>
      <c r="B125" s="1664"/>
      <c r="C125" s="1651"/>
      <c r="D125" s="1841"/>
      <c r="E125" s="1537">
        <f t="shared" si="14"/>
        <v>0</v>
      </c>
      <c r="F125" s="1929">
        <f t="shared" si="5"/>
        <v>0</v>
      </c>
      <c r="G125" s="1790">
        <f t="shared" si="15"/>
        <v>0</v>
      </c>
    </row>
    <row r="126" spans="1:7" x14ac:dyDescent="0.25">
      <c r="A126" s="1650"/>
      <c r="B126" s="1664"/>
      <c r="C126" s="1651"/>
      <c r="D126" s="1841"/>
      <c r="E126" s="1537">
        <f t="shared" ref="E126:E134" si="16">IF(D126&lt;=25000,D126,IF(D126&gt;25000,25000,0))</f>
        <v>0</v>
      </c>
      <c r="F126" s="1929">
        <f t="shared" si="5"/>
        <v>0</v>
      </c>
      <c r="G126" s="1790">
        <f t="shared" ref="G126:G134" si="17">IF(F126=0,0,D126-F126)</f>
        <v>0</v>
      </c>
    </row>
    <row r="127" spans="1:7" x14ac:dyDescent="0.25">
      <c r="A127" s="1650"/>
      <c r="B127" s="1664"/>
      <c r="C127" s="1651"/>
      <c r="D127" s="1841"/>
      <c r="E127" s="1537">
        <f t="shared" si="16"/>
        <v>0</v>
      </c>
      <c r="F127" s="1929">
        <f t="shared" si="5"/>
        <v>0</v>
      </c>
      <c r="G127" s="1790">
        <f t="shared" si="17"/>
        <v>0</v>
      </c>
    </row>
    <row r="128" spans="1:7" x14ac:dyDescent="0.25">
      <c r="A128" s="1650"/>
      <c r="B128" s="1664"/>
      <c r="C128" s="1651"/>
      <c r="D128" s="1841"/>
      <c r="E128" s="1537">
        <f t="shared" si="16"/>
        <v>0</v>
      </c>
      <c r="F128" s="1929">
        <f t="shared" si="5"/>
        <v>0</v>
      </c>
      <c r="G128" s="1790">
        <f t="shared" si="17"/>
        <v>0</v>
      </c>
    </row>
    <row r="129" spans="1:7" x14ac:dyDescent="0.25">
      <c r="A129" s="1650"/>
      <c r="B129" s="1664"/>
      <c r="C129" s="1651"/>
      <c r="D129" s="1841"/>
      <c r="E129" s="1537">
        <f t="shared" si="16"/>
        <v>0</v>
      </c>
      <c r="F129" s="1929">
        <f t="shared" si="5"/>
        <v>0</v>
      </c>
      <c r="G129" s="1790">
        <f t="shared" si="17"/>
        <v>0</v>
      </c>
    </row>
    <row r="130" spans="1:7" x14ac:dyDescent="0.25">
      <c r="A130" s="1650"/>
      <c r="B130" s="1664"/>
      <c r="C130" s="1651"/>
      <c r="D130" s="1841"/>
      <c r="E130" s="1537">
        <f t="shared" si="16"/>
        <v>0</v>
      </c>
      <c r="F130" s="1929">
        <f t="shared" si="5"/>
        <v>0</v>
      </c>
      <c r="G130" s="1790">
        <f t="shared" si="17"/>
        <v>0</v>
      </c>
    </row>
    <row r="131" spans="1:7" x14ac:dyDescent="0.25">
      <c r="A131" s="1650"/>
      <c r="B131" s="1834"/>
      <c r="C131" s="1651"/>
      <c r="D131" s="1841"/>
      <c r="E131" s="1537">
        <f t="shared" si="16"/>
        <v>0</v>
      </c>
      <c r="F131" s="1929">
        <f t="shared" si="5"/>
        <v>0</v>
      </c>
      <c r="G131" s="1790">
        <f t="shared" si="17"/>
        <v>0</v>
      </c>
    </row>
    <row r="132" spans="1:7" x14ac:dyDescent="0.25">
      <c r="A132" s="1650"/>
      <c r="B132" s="1834"/>
      <c r="C132" s="1651"/>
      <c r="D132" s="1841"/>
      <c r="E132" s="1537">
        <f t="shared" si="16"/>
        <v>0</v>
      </c>
      <c r="F132" s="1929">
        <f t="shared" si="5"/>
        <v>0</v>
      </c>
      <c r="G132" s="1790">
        <f t="shared" si="17"/>
        <v>0</v>
      </c>
    </row>
    <row r="133" spans="1:7" x14ac:dyDescent="0.25">
      <c r="A133" s="1650"/>
      <c r="B133" s="1664"/>
      <c r="C133" s="1651"/>
      <c r="D133" s="1841"/>
      <c r="E133" s="1537">
        <f t="shared" si="16"/>
        <v>0</v>
      </c>
      <c r="F133" s="1929">
        <f t="shared" si="5"/>
        <v>0</v>
      </c>
      <c r="G133" s="1790">
        <f t="shared" si="17"/>
        <v>0</v>
      </c>
    </row>
    <row r="134" spans="1:7" x14ac:dyDescent="0.25">
      <c r="A134" s="1650"/>
      <c r="B134" s="1664"/>
      <c r="C134" s="1651"/>
      <c r="D134" s="1841"/>
      <c r="E134" s="1537">
        <f t="shared" si="16"/>
        <v>0</v>
      </c>
      <c r="F134" s="1929">
        <f t="shared" si="5"/>
        <v>0</v>
      </c>
      <c r="G134" s="1790">
        <f t="shared" si="17"/>
        <v>0</v>
      </c>
    </row>
    <row r="135" spans="1:7" x14ac:dyDescent="0.25">
      <c r="A135" s="1650"/>
      <c r="B135" s="1664"/>
      <c r="C135" s="1651"/>
      <c r="D135" s="1841"/>
      <c r="E135" s="1537">
        <f t="shared" ref="E135:E139" si="18">IF(D135&lt;=25000,D135,IF(D135&gt;25000,25000,0))</f>
        <v>0</v>
      </c>
      <c r="F135" s="1929">
        <f t="shared" si="5"/>
        <v>0</v>
      </c>
      <c r="G135" s="1790">
        <f t="shared" ref="G135:G139" si="19">IF(F135=0,0,D135-F135)</f>
        <v>0</v>
      </c>
    </row>
    <row r="136" spans="1:7" x14ac:dyDescent="0.25">
      <c r="A136" s="1650"/>
      <c r="B136" s="1664"/>
      <c r="C136" s="1651"/>
      <c r="D136" s="1841"/>
      <c r="E136" s="1537">
        <f t="shared" si="18"/>
        <v>0</v>
      </c>
      <c r="F136" s="1929">
        <f t="shared" si="5"/>
        <v>0</v>
      </c>
      <c r="G136" s="1790">
        <f t="shared" si="19"/>
        <v>0</v>
      </c>
    </row>
    <row r="137" spans="1:7" x14ac:dyDescent="0.25">
      <c r="A137" s="1650"/>
      <c r="B137" s="1664"/>
      <c r="C137" s="1651"/>
      <c r="D137" s="1841"/>
      <c r="E137" s="1537">
        <f t="shared" si="18"/>
        <v>0</v>
      </c>
      <c r="F137" s="1929">
        <f t="shared" si="5"/>
        <v>0</v>
      </c>
      <c r="G137" s="1790">
        <f t="shared" si="19"/>
        <v>0</v>
      </c>
    </row>
    <row r="138" spans="1:7" x14ac:dyDescent="0.25">
      <c r="A138" s="1650"/>
      <c r="B138" s="1664"/>
      <c r="C138" s="1651"/>
      <c r="D138" s="1841"/>
      <c r="E138" s="1537">
        <f t="shared" si="18"/>
        <v>0</v>
      </c>
      <c r="F138" s="1929">
        <f t="shared" si="5"/>
        <v>0</v>
      </c>
      <c r="G138" s="1790">
        <f t="shared" si="19"/>
        <v>0</v>
      </c>
    </row>
    <row r="139" spans="1:7" x14ac:dyDescent="0.25">
      <c r="A139" s="1650"/>
      <c r="B139" s="1664"/>
      <c r="C139" s="1651"/>
      <c r="D139" s="1841"/>
      <c r="E139" s="1537">
        <f t="shared" si="18"/>
        <v>0</v>
      </c>
      <c r="F139" s="1929">
        <f t="shared" si="5"/>
        <v>0</v>
      </c>
      <c r="G139" s="1790">
        <f t="shared" si="19"/>
        <v>0</v>
      </c>
    </row>
    <row r="140" spans="1:7" x14ac:dyDescent="0.25">
      <c r="A140" s="1650"/>
      <c r="B140" s="1663"/>
      <c r="C140" s="1651"/>
      <c r="D140" s="1841"/>
      <c r="E140" s="1537">
        <f t="shared" si="0"/>
        <v>0</v>
      </c>
      <c r="F140" s="1929">
        <f t="shared" si="5"/>
        <v>0</v>
      </c>
      <c r="G140" s="1790">
        <f t="shared" si="2"/>
        <v>0</v>
      </c>
    </row>
    <row r="141" spans="1:7" x14ac:dyDescent="0.25">
      <c r="A141" s="1793" t="s">
        <v>156</v>
      </c>
      <c r="B141" s="1794"/>
      <c r="C141" s="1795"/>
      <c r="D141" s="1791">
        <f>SUM(D17:D140)</f>
        <v>1654540</v>
      </c>
      <c r="E141" s="1538">
        <f t="shared" ref="E141" si="20">IF(D141&lt;=25000,D141,IF(D141&gt;25000,25000,0))</f>
        <v>25000</v>
      </c>
      <c r="F141" s="1930">
        <f>SUM(F17:F140)</f>
        <v>200000</v>
      </c>
      <c r="G141" s="1792">
        <f>SUM(G17:G140)</f>
        <v>1454540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82" t="s">
        <v>1679</v>
      </c>
      <c r="B5" s="2283"/>
      <c r="C5" s="2283"/>
      <c r="D5" s="2283"/>
      <c r="E5" s="2283"/>
      <c r="F5" s="2283"/>
      <c r="G5" s="2284"/>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184704</v>
      </c>
      <c r="F10" s="971"/>
      <c r="G10" s="972"/>
      <c r="H10" s="162"/>
      <c r="I10" s="162"/>
    </row>
    <row r="11" spans="1:9" s="665" customFormat="1" ht="22.5" customHeight="1" x14ac:dyDescent="0.2">
      <c r="A11" s="2287" t="s">
        <v>1977</v>
      </c>
      <c r="B11" s="2288"/>
      <c r="C11" s="2288"/>
      <c r="D11" s="2289"/>
      <c r="E11" s="974">
        <v>32669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5998429</v>
      </c>
      <c r="F19" s="1796"/>
      <c r="G19" s="1798">
        <f>'Expenditures 15-22'!K33-SUM('Expenditures 15-22'!G33,'Expenditures 15-22'!I33)+'Expenditures 15-22'!D229</f>
        <v>5998429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318109</v>
      </c>
      <c r="F21" s="1799"/>
      <c r="G21" s="1802">
        <f>'Expenditures 15-22'!K42-SUM('Expenditures 15-22'!G42,'Expenditures 15-22'!I42)+'Expenditures 15-22'!K120-SUM('Expenditures 15-22'!G120,'Expenditures 15-22'!I120)+'Expenditures 15-22'!K180-SUM('Expenditures 15-22'!G180,'Expenditures 15-22'!I180)+'Expenditures 15-22'!D238</f>
        <v>318109</v>
      </c>
      <c r="H21" s="984"/>
      <c r="I21" s="162"/>
    </row>
    <row r="22" spans="1:9" s="665" customFormat="1" ht="12" customHeight="1" x14ac:dyDescent="0.2">
      <c r="A22" s="991" t="s">
        <v>564</v>
      </c>
      <c r="B22" s="992"/>
      <c r="C22" s="990">
        <v>2200</v>
      </c>
      <c r="D22" s="1799"/>
      <c r="E22" s="1801">
        <f>'Expenditures 15-22'!K47-SUM('Expenditures 15-22'!G47,'Expenditures 15-22'!I47)+'Expenditures 15-22'!D243</f>
        <v>392266</v>
      </c>
      <c r="F22" s="1799"/>
      <c r="G22" s="1802">
        <f>'Expenditures 15-22'!K47-SUM('Expenditures 15-22'!G47,'Expenditures 15-22'!I47)+'Expenditures 15-22'!D243</f>
        <v>392266</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607384</v>
      </c>
      <c r="F23" s="1799"/>
      <c r="G23" s="1801">
        <f>'Expenditures 15-22'!K53-SUM('Expenditures 15-22'!G53,'Expenditures 15-22'!I53)+'Expenditures 15-22'!D257+'Expenditures 15-22'!K330-SUM('Expenditures 15-22'!G330,'Expenditures 15-22'!I330)</f>
        <v>607384</v>
      </c>
      <c r="H23" s="984"/>
      <c r="I23" s="162"/>
    </row>
    <row r="24" spans="1:9" s="665" customFormat="1" ht="12" customHeight="1" x14ac:dyDescent="0.2">
      <c r="A24" s="991" t="s">
        <v>566</v>
      </c>
      <c r="B24" s="992"/>
      <c r="C24" s="990">
        <v>2400</v>
      </c>
      <c r="D24" s="1799"/>
      <c r="E24" s="1801">
        <f>'Expenditures 15-22'!K57-SUM('Expenditures 15-22'!G57,'Expenditures 15-22'!I57)+'Expenditures 15-22'!D261</f>
        <v>724298</v>
      </c>
      <c r="F24" s="1799"/>
      <c r="G24" s="1802">
        <f>'Expenditures 15-22'!K57-SUM('Expenditures 15-22'!G57,'Expenditures 15-22'!I57)+'Expenditures 15-22'!D261</f>
        <v>724298</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138560</v>
      </c>
      <c r="E27" s="1801">
        <f>E8</f>
        <v>0</v>
      </c>
      <c r="F27" s="1801">
        <f>'Expenditures 15-22'!K60-SUM('Expenditures 15-22'!G60,'Expenditures 15-22'!I60)+'Expenditures 15-22'!D264-E8</f>
        <v>138560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1009391</v>
      </c>
      <c r="F28" s="1803">
        <f>'Expenditures 15-22'!K61-SUM('Expenditures 15-22'!G61,'Expenditures 15-22'!I61)+'Expenditures 15-22'!K124-SUM('Expenditures 15-22'!G124,'Expenditures 15-22'!I124)+'Expenditures 15-22'!D266-E9</f>
        <v>1009391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1005144</v>
      </c>
      <c r="F29" s="1799"/>
      <c r="G29" s="1802">
        <f>'Expenditures 15-22'!K62-SUM('Expenditures 15-22'!G62,'Expenditures 15-22'!I62)+'Expenditures 15-22'!K125-SUM('Expenditures 15-22'!G125,'Expenditures 15-22'!I125)+'Expenditures 15-22'!K182-SUM('Expenditures 15-22'!G182,'Expenditures 15-22'!I182)+'Expenditures 15-22'!D267</f>
        <v>1005144</v>
      </c>
      <c r="H29" s="982"/>
    </row>
    <row r="30" spans="1:9" ht="12" customHeight="1" x14ac:dyDescent="0.2">
      <c r="A30" s="991" t="s">
        <v>100</v>
      </c>
      <c r="B30" s="994"/>
      <c r="C30" s="990">
        <v>2560</v>
      </c>
      <c r="D30" s="1799"/>
      <c r="E30" s="1801">
        <f>'Expenditures 15-22'!K63-SUM('Expenditures 15-22'!G63,'Expenditures 15-22'!I63)+'Expenditures 15-22'!D268-E10</f>
        <v>238793</v>
      </c>
      <c r="F30" s="1799"/>
      <c r="G30" s="1801">
        <f>'Expenditures 15-22'!K63-SUM('Expenditures 15-22'!G63,'Expenditures 15-22'!I63)+'Expenditures 15-22'!D268-E10</f>
        <v>238793</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15422</v>
      </c>
      <c r="F35" s="1799"/>
      <c r="G35" s="1801">
        <f>'Expenditures 15-22'!K69-SUM('Expenditures 15-22'!G69,'Expenditures 15-22'!I69)+'Expenditures 15-22'!D274</f>
        <v>15422</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-1454540</v>
      </c>
      <c r="F40" s="1799"/>
      <c r="G40" s="1803">
        <f>-'Contracts Paid in CY 29'!G141</f>
        <v>-1454540</v>
      </c>
    </row>
    <row r="41" spans="1:7" ht="12" customHeight="1" x14ac:dyDescent="0.2">
      <c r="A41" s="995" t="s">
        <v>156</v>
      </c>
      <c r="B41" s="996"/>
      <c r="C41" s="997"/>
      <c r="D41" s="1803">
        <f>SUM(D19:D39)</f>
        <v>138560</v>
      </c>
      <c r="E41" s="1803">
        <f>SUM(E19:E40)</f>
        <v>8854696</v>
      </c>
      <c r="F41" s="1803">
        <f>SUM(F19:F39)</f>
        <v>1147951</v>
      </c>
      <c r="G41" s="1803">
        <f>SUM(G19:G40)</f>
        <v>7845305</v>
      </c>
    </row>
    <row r="42" spans="1:7" x14ac:dyDescent="0.2">
      <c r="A42" s="984"/>
      <c r="B42" s="162"/>
      <c r="C42" s="998"/>
      <c r="D42" s="2285" t="s">
        <v>522</v>
      </c>
      <c r="E42" s="2286"/>
      <c r="F42" s="999" t="s">
        <v>523</v>
      </c>
      <c r="G42" s="1000"/>
    </row>
    <row r="43" spans="1:7" ht="12" customHeight="1" x14ac:dyDescent="0.2">
      <c r="A43" s="984"/>
      <c r="B43" s="162"/>
      <c r="C43" s="998"/>
      <c r="D43" s="1804" t="s">
        <v>473</v>
      </c>
      <c r="E43" s="1805">
        <f>D41</f>
        <v>138560</v>
      </c>
      <c r="F43" s="1804" t="s">
        <v>473</v>
      </c>
      <c r="G43" s="1805">
        <f>F41</f>
        <v>1147951</v>
      </c>
    </row>
    <row r="44" spans="1:7" ht="12" customHeight="1" x14ac:dyDescent="0.2">
      <c r="A44" s="984"/>
      <c r="B44" s="162"/>
      <c r="C44" s="998"/>
      <c r="D44" s="1804" t="s">
        <v>474</v>
      </c>
      <c r="E44" s="1805">
        <f>E41</f>
        <v>8854696</v>
      </c>
      <c r="F44" s="1804" t="s">
        <v>474</v>
      </c>
      <c r="G44" s="1805">
        <f>G41</f>
        <v>7845305</v>
      </c>
    </row>
    <row r="45" spans="1:7" ht="12" customHeight="1" x14ac:dyDescent="0.2">
      <c r="A45" s="984"/>
      <c r="B45" s="162"/>
      <c r="C45" s="162"/>
      <c r="D45" s="1806" t="s">
        <v>1006</v>
      </c>
      <c r="E45" s="1807">
        <f>(E43/E44)</f>
        <v>1.5648193907503997E-2</v>
      </c>
      <c r="F45" s="1806" t="s">
        <v>1006</v>
      </c>
      <c r="G45" s="1807">
        <f>(G43/G44)</f>
        <v>0.14632331056600095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4" t="s">
        <v>1379</v>
      </c>
      <c r="B1" s="2304"/>
      <c r="C1" s="2304"/>
      <c r="D1" s="2304"/>
      <c r="E1" s="2304"/>
      <c r="F1" s="2304"/>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05" t="s">
        <v>1546</v>
      </c>
      <c r="B5" s="2306"/>
      <c r="C5" s="2307"/>
      <c r="D5" s="2307"/>
      <c r="E5" s="2307"/>
      <c r="F5" s="2307"/>
    </row>
    <row r="6" spans="1:10" ht="12" customHeight="1" x14ac:dyDescent="0.25">
      <c r="A6" s="1847"/>
      <c r="B6" s="1848"/>
      <c r="C6" s="2308" t="str">
        <f>COVER!A17</f>
        <v>Putnam County CUSD 535</v>
      </c>
      <c r="D6" s="2308"/>
      <c r="E6" s="2308"/>
      <c r="F6" s="1849"/>
    </row>
    <row r="7" spans="1:10" ht="11.25" customHeight="1" thickBot="1" x14ac:dyDescent="0.3">
      <c r="A7" s="1847"/>
      <c r="B7" s="1848"/>
      <c r="C7" s="2309">
        <f>COVER!A13</f>
        <v>35078535026</v>
      </c>
      <c r="D7" s="2309"/>
      <c r="E7" s="2309"/>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2081</v>
      </c>
      <c r="D11" s="1862" t="s">
        <v>2081</v>
      </c>
      <c r="E11" s="1863"/>
      <c r="F11" s="1864" t="s">
        <v>2082</v>
      </c>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2081</v>
      </c>
      <c r="D13" s="1862" t="s">
        <v>2081</v>
      </c>
      <c r="E13" s="1865"/>
      <c r="F13" s="1864" t="s">
        <v>2083</v>
      </c>
      <c r="H13" s="1875">
        <f t="shared" si="0"/>
        <v>5</v>
      </c>
      <c r="I13" s="1875">
        <f t="shared" si="1"/>
        <v>5</v>
      </c>
      <c r="J13" s="1875">
        <f t="shared" si="2"/>
        <v>0</v>
      </c>
    </row>
    <row r="14" spans="1:10" ht="12" customHeight="1" x14ac:dyDescent="0.2">
      <c r="A14" s="1860" t="s">
        <v>1386</v>
      </c>
      <c r="B14" s="1861"/>
      <c r="C14" s="1862" t="s">
        <v>2081</v>
      </c>
      <c r="D14" s="1862" t="s">
        <v>2081</v>
      </c>
      <c r="E14" s="1865"/>
      <c r="F14" s="1864" t="s">
        <v>2084</v>
      </c>
      <c r="H14" s="1875">
        <f t="shared" si="0"/>
        <v>5</v>
      </c>
      <c r="I14" s="1875">
        <f t="shared" si="1"/>
        <v>5</v>
      </c>
      <c r="J14" s="1875">
        <f t="shared" si="2"/>
        <v>0</v>
      </c>
    </row>
    <row r="15" spans="1:10" ht="12" customHeight="1" x14ac:dyDescent="0.2">
      <c r="A15" s="1860" t="s">
        <v>1387</v>
      </c>
      <c r="B15" s="1861"/>
      <c r="C15" s="1862" t="s">
        <v>2081</v>
      </c>
      <c r="D15" s="1862" t="s">
        <v>2081</v>
      </c>
      <c r="E15" s="1865"/>
      <c r="F15" s="1864" t="s">
        <v>2085</v>
      </c>
      <c r="H15" s="1875">
        <f t="shared" si="0"/>
        <v>5</v>
      </c>
      <c r="I15" s="1875">
        <f t="shared" si="1"/>
        <v>5</v>
      </c>
      <c r="J15" s="1875">
        <f t="shared" si="2"/>
        <v>0</v>
      </c>
    </row>
    <row r="16" spans="1:10" ht="12" customHeight="1" x14ac:dyDescent="0.2">
      <c r="A16" s="1860" t="s">
        <v>1388</v>
      </c>
      <c r="B16" s="1861"/>
      <c r="C16" s="1862" t="s">
        <v>2081</v>
      </c>
      <c r="D16" s="1862" t="s">
        <v>2081</v>
      </c>
      <c r="E16" s="1865"/>
      <c r="F16" s="1864" t="s">
        <v>2086</v>
      </c>
      <c r="H16" s="1875">
        <f t="shared" si="0"/>
        <v>5</v>
      </c>
      <c r="I16" s="1875">
        <f t="shared" si="1"/>
        <v>5</v>
      </c>
      <c r="J16" s="1875">
        <f t="shared" si="2"/>
        <v>0</v>
      </c>
    </row>
    <row r="17" spans="1:12" ht="12" customHeight="1" x14ac:dyDescent="0.2">
      <c r="A17" s="1860" t="s">
        <v>1389</v>
      </c>
      <c r="B17" s="1861"/>
      <c r="C17" s="1862" t="s">
        <v>2081</v>
      </c>
      <c r="D17" s="1862" t="s">
        <v>2081</v>
      </c>
      <c r="E17" s="1865"/>
      <c r="F17" s="1864" t="s">
        <v>2087</v>
      </c>
      <c r="H17" s="1875">
        <f t="shared" si="0"/>
        <v>5</v>
      </c>
      <c r="I17" s="1875">
        <f t="shared" si="1"/>
        <v>5</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2081</v>
      </c>
      <c r="D23" s="1862" t="s">
        <v>2081</v>
      </c>
      <c r="E23" s="1865"/>
      <c r="F23" s="1864" t="s">
        <v>2088</v>
      </c>
      <c r="H23" s="1875">
        <f t="shared" si="0"/>
        <v>5</v>
      </c>
      <c r="I23" s="1875">
        <f t="shared" si="1"/>
        <v>5</v>
      </c>
      <c r="J23" s="1875">
        <f t="shared" si="2"/>
        <v>0</v>
      </c>
    </row>
    <row r="24" spans="1:12" ht="12" customHeight="1" x14ac:dyDescent="0.2">
      <c r="A24" s="1860" t="s">
        <v>1532</v>
      </c>
      <c r="B24" s="1861"/>
      <c r="C24" s="1862" t="s">
        <v>2081</v>
      </c>
      <c r="D24" s="1862" t="s">
        <v>2081</v>
      </c>
      <c r="E24" s="1865"/>
      <c r="F24" s="1864" t="s">
        <v>2089</v>
      </c>
      <c r="H24" s="1875">
        <f t="shared" si="0"/>
        <v>5</v>
      </c>
      <c r="I24" s="1875">
        <f t="shared" si="1"/>
        <v>5</v>
      </c>
      <c r="J24" s="1875">
        <f t="shared" si="2"/>
        <v>0</v>
      </c>
    </row>
    <row r="25" spans="1:12" ht="12" customHeight="1" x14ac:dyDescent="0.2">
      <c r="A25" s="1860" t="s">
        <v>1533</v>
      </c>
      <c r="B25" s="1861"/>
      <c r="C25" s="1862" t="s">
        <v>2081</v>
      </c>
      <c r="D25" s="1862" t="s">
        <v>2081</v>
      </c>
      <c r="E25" s="1865"/>
      <c r="F25" s="1864" t="s">
        <v>2090</v>
      </c>
      <c r="H25" s="1875">
        <f t="shared" si="0"/>
        <v>5</v>
      </c>
      <c r="I25" s="1875">
        <f t="shared" si="1"/>
        <v>5</v>
      </c>
      <c r="J25" s="1875">
        <f t="shared" si="2"/>
        <v>0</v>
      </c>
    </row>
    <row r="26" spans="1:12" ht="12" customHeight="1" x14ac:dyDescent="0.2">
      <c r="A26" s="1860" t="s">
        <v>1534</v>
      </c>
      <c r="B26" s="1861"/>
      <c r="C26" s="1862" t="s">
        <v>2081</v>
      </c>
      <c r="D26" s="1862" t="s">
        <v>2081</v>
      </c>
      <c r="E26" s="1865"/>
      <c r="F26" s="1864" t="s">
        <v>2090</v>
      </c>
      <c r="H26" s="1875">
        <f t="shared" si="0"/>
        <v>5</v>
      </c>
      <c r="I26" s="1875">
        <f t="shared" si="1"/>
        <v>5</v>
      </c>
      <c r="J26" s="1875">
        <f t="shared" si="2"/>
        <v>0</v>
      </c>
    </row>
    <row r="27" spans="1:12" ht="18.75" x14ac:dyDescent="0.2">
      <c r="A27" s="1860" t="s">
        <v>1535</v>
      </c>
      <c r="B27" s="1861"/>
      <c r="C27" s="1862" t="s">
        <v>2081</v>
      </c>
      <c r="D27" s="1862" t="s">
        <v>2081</v>
      </c>
      <c r="E27" s="1865"/>
      <c r="F27" s="1864" t="s">
        <v>2091</v>
      </c>
      <c r="H27" s="1875">
        <f t="shared" si="0"/>
        <v>5</v>
      </c>
      <c r="I27" s="1875">
        <f t="shared" si="1"/>
        <v>5</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2081</v>
      </c>
      <c r="D30" s="1862" t="s">
        <v>2081</v>
      </c>
      <c r="E30" s="1865"/>
      <c r="F30" s="1864" t="s">
        <v>2092</v>
      </c>
      <c r="H30" s="1875">
        <f t="shared" si="0"/>
        <v>5</v>
      </c>
      <c r="I30" s="1875">
        <f t="shared" si="1"/>
        <v>5</v>
      </c>
      <c r="J30" s="1875">
        <f t="shared" si="2"/>
        <v>0</v>
      </c>
    </row>
    <row r="31" spans="1:12" ht="12" customHeight="1" x14ac:dyDescent="0.2">
      <c r="A31" s="1860" t="s">
        <v>1539</v>
      </c>
      <c r="B31" s="1861"/>
      <c r="C31" s="1862" t="s">
        <v>2081</v>
      </c>
      <c r="D31" s="1862" t="s">
        <v>2081</v>
      </c>
      <c r="E31" s="1865"/>
      <c r="F31" s="1864" t="s">
        <v>2093</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2081</v>
      </c>
      <c r="D33" s="1862" t="s">
        <v>2081</v>
      </c>
      <c r="E33" s="1865"/>
      <c r="F33" s="1864" t="s">
        <v>2094</v>
      </c>
      <c r="H33" s="1875">
        <f t="shared" si="0"/>
        <v>5</v>
      </c>
      <c r="I33" s="1875">
        <f t="shared" si="1"/>
        <v>5</v>
      </c>
      <c r="J33" s="1875">
        <f t="shared" si="2"/>
        <v>0</v>
      </c>
    </row>
    <row r="34" spans="1:11" ht="12" customHeight="1" x14ac:dyDescent="0.25">
      <c r="A34" s="1867"/>
      <c r="B34" s="1867"/>
      <c r="C34" s="1867"/>
      <c r="D34" s="1867"/>
      <c r="E34" s="1867"/>
      <c r="F34" s="1867"/>
      <c r="H34" s="1875">
        <f>SUM(H11:H32)</f>
        <v>65</v>
      </c>
      <c r="I34" s="1875">
        <f>SUM(I11:I32)</f>
        <v>65</v>
      </c>
      <c r="J34" s="1875">
        <f>SUM(J11:J32)</f>
        <v>0</v>
      </c>
      <c r="K34" s="1875">
        <f>SUM(H34:J34)</f>
        <v>130</v>
      </c>
    </row>
    <row r="35" spans="1:11" ht="12" customHeight="1" x14ac:dyDescent="0.2">
      <c r="A35" s="1868" t="s">
        <v>1392</v>
      </c>
      <c r="B35" s="1869"/>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0"/>
      <c r="B39" s="1870"/>
      <c r="C39" s="1870"/>
      <c r="D39" s="1870"/>
      <c r="E39" s="1870"/>
      <c r="F39" s="1870"/>
    </row>
    <row r="40" spans="1:11" s="1867" customFormat="1" ht="12" customHeight="1" x14ac:dyDescent="0.25">
      <c r="A40" s="1871" t="s">
        <v>1391</v>
      </c>
      <c r="B40" s="1872"/>
      <c r="C40" s="2299"/>
      <c r="D40" s="2299"/>
      <c r="E40" s="2299"/>
      <c r="F40" s="2300"/>
      <c r="H40" s="1876"/>
      <c r="I40" s="1876"/>
      <c r="J40" s="1876"/>
      <c r="K40" s="1876"/>
    </row>
    <row r="41" spans="1:11" s="1867" customFormat="1" ht="12" customHeight="1" x14ac:dyDescent="0.25">
      <c r="A41" s="2301"/>
      <c r="B41" s="2302"/>
      <c r="C41" s="2302"/>
      <c r="D41" s="2302"/>
      <c r="E41" s="2302"/>
      <c r="F41" s="2303"/>
      <c r="H41" s="1876"/>
      <c r="I41" s="1876"/>
      <c r="J41" s="1876"/>
      <c r="K41" s="1876"/>
    </row>
    <row r="42" spans="1:11" s="1867" customFormat="1" ht="12" customHeight="1" x14ac:dyDescent="0.25">
      <c r="A42" s="2301"/>
      <c r="B42" s="2302"/>
      <c r="C42" s="2302"/>
      <c r="D42" s="2302"/>
      <c r="E42" s="2302"/>
      <c r="F42" s="2303"/>
      <c r="H42" s="1876"/>
      <c r="I42" s="1876"/>
      <c r="J42" s="1876"/>
      <c r="K42" s="1876"/>
    </row>
    <row r="43" spans="1:11" s="1867" customFormat="1" ht="15" x14ac:dyDescent="0.25">
      <c r="A43" s="2290"/>
      <c r="B43" s="2291"/>
      <c r="C43" s="2291"/>
      <c r="D43" s="2291"/>
      <c r="E43" s="2291"/>
      <c r="F43" s="2292"/>
      <c r="H43" s="1876"/>
      <c r="I43" s="1876"/>
      <c r="J43" s="1876"/>
      <c r="K43" s="1876"/>
    </row>
    <row r="44" spans="1:11" s="1867" customFormat="1" ht="12" hidden="1" customHeight="1" x14ac:dyDescent="0.25">
      <c r="A44" s="2290"/>
      <c r="B44" s="2291"/>
      <c r="C44" s="2291"/>
      <c r="D44" s="2291"/>
      <c r="E44" s="2291"/>
      <c r="F44" s="229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7" t="str">
        <f>COVER!A17</f>
        <v>Putnam County CUSD 535</v>
      </c>
      <c r="J6" s="2318"/>
      <c r="Q6" s="1661"/>
    </row>
    <row r="7" spans="1:17" x14ac:dyDescent="0.2">
      <c r="A7" s="2319" t="s">
        <v>869</v>
      </c>
      <c r="B7" s="2320"/>
      <c r="C7" s="2320"/>
      <c r="D7" s="2320"/>
      <c r="E7" s="2321"/>
      <c r="F7" s="1014"/>
      <c r="G7" s="1006"/>
      <c r="H7" s="1013" t="s">
        <v>372</v>
      </c>
      <c r="I7" s="2322">
        <f>COVER!A13</f>
        <v>35078535026</v>
      </c>
      <c r="J7" s="2322"/>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3" t="s">
        <v>481</v>
      </c>
      <c r="B11" s="2324"/>
      <c r="C11" s="232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164434</v>
      </c>
      <c r="F12" s="1036"/>
      <c r="G12" s="1808">
        <f t="shared" ref="G12:G18" si="0">SUM(E12:F12)</f>
        <v>164434</v>
      </c>
      <c r="H12" s="1037">
        <v>168900</v>
      </c>
      <c r="I12" s="1036"/>
      <c r="J12" s="1808">
        <f t="shared" ref="J12:J18" si="1">SUM(H12:I12)</f>
        <v>168900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6" t="s">
        <v>7</v>
      </c>
      <c r="C18" s="2327"/>
      <c r="D18" s="2328"/>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164434</v>
      </c>
      <c r="F19" s="1810">
        <f t="shared" si="2"/>
        <v>0</v>
      </c>
      <c r="G19" s="1810">
        <f t="shared" si="2"/>
        <v>164434</v>
      </c>
      <c r="H19" s="1810">
        <f t="shared" si="2"/>
        <v>168900</v>
      </c>
      <c r="I19" s="1810">
        <f t="shared" si="2"/>
        <v>0</v>
      </c>
      <c r="J19" s="1810">
        <f t="shared" si="2"/>
        <v>168900</v>
      </c>
    </row>
    <row r="20" spans="1:10" ht="13.5" thickTop="1" x14ac:dyDescent="0.2">
      <c r="A20" s="1032">
        <v>9</v>
      </c>
      <c r="B20" s="2329" t="s">
        <v>1981</v>
      </c>
      <c r="C20" s="2329"/>
      <c r="D20" s="2330"/>
      <c r="E20" s="1043"/>
      <c r="F20" s="1043"/>
      <c r="G20" s="1043"/>
      <c r="H20" s="1043"/>
      <c r="I20" s="1043"/>
      <c r="J20" s="1811">
        <f>IF(AND(G19&gt;0,J19&gt;0),(((J19-G19)/G19)),"Enter Budget Data")</f>
        <v>2.7159833124536289E-2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5"/>
      <c r="D26" s="2335"/>
      <c r="E26" s="1047"/>
      <c r="F26" s="2334"/>
      <c r="G26" s="2334"/>
    </row>
    <row r="27" spans="1:10" x14ac:dyDescent="0.2">
      <c r="B27" s="1044"/>
      <c r="C27" s="1048" t="s">
        <v>1033</v>
      </c>
      <c r="D27" s="1049"/>
      <c r="E27" s="1050"/>
      <c r="F27" s="2331" t="s">
        <v>1509</v>
      </c>
      <c r="G27" s="2331"/>
    </row>
    <row r="28" spans="1:10" ht="28.5" customHeight="1" x14ac:dyDescent="0.2">
      <c r="B28" s="1044"/>
      <c r="C28" s="2333"/>
      <c r="D28" s="2333"/>
      <c r="E28" s="1051"/>
      <c r="F28" s="2333"/>
      <c r="G28" s="2333"/>
    </row>
    <row r="29" spans="1:10" x14ac:dyDescent="0.2">
      <c r="B29" s="1044"/>
      <c r="C29" s="1052" t="s">
        <v>1561</v>
      </c>
      <c r="E29" s="1053"/>
      <c r="F29" s="2332" t="s">
        <v>1510</v>
      </c>
      <c r="G29" s="233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59"/>
    </row>
    <row r="36" spans="1:10" ht="13.5" customHeight="1" x14ac:dyDescent="0.2">
      <c r="B36" s="1058"/>
      <c r="C36" s="2316" t="s">
        <v>1983</v>
      </c>
      <c r="D36" s="2315"/>
      <c r="E36" s="2315"/>
      <c r="F36" s="2315"/>
      <c r="G36" s="2315"/>
      <c r="H36" s="2315"/>
      <c r="I36" s="2315"/>
      <c r="J36" s="1060"/>
    </row>
    <row r="37" spans="1:10" ht="22.5" customHeight="1" x14ac:dyDescent="0.2">
      <c r="C37" s="2315"/>
      <c r="D37" s="2315"/>
      <c r="E37" s="2315"/>
      <c r="F37" s="2315"/>
      <c r="G37" s="2315"/>
      <c r="H37" s="2315"/>
      <c r="I37" s="2315"/>
      <c r="J37" s="1060"/>
    </row>
    <row r="38" spans="1:10" ht="7.5" customHeight="1" x14ac:dyDescent="0.2">
      <c r="C38" s="1059"/>
      <c r="D38" s="1061"/>
      <c r="E38" s="1062"/>
      <c r="F38" s="1063"/>
      <c r="G38" s="1062"/>
    </row>
    <row r="39" spans="1:10" ht="13.5" customHeight="1" x14ac:dyDescent="0.2">
      <c r="B39" s="1058"/>
      <c r="C39" s="2312" t="s">
        <v>882</v>
      </c>
      <c r="D39" s="2313"/>
      <c r="E39" s="2313"/>
      <c r="F39" s="2313"/>
      <c r="G39" s="2313"/>
      <c r="H39" s="2313"/>
      <c r="I39" s="231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v>1</v>
      </c>
      <c r="B5" s="329" t="s">
        <v>2100</v>
      </c>
    </row>
    <row r="6" spans="1:2" x14ac:dyDescent="0.2">
      <c r="A6" s="1066">
        <v>2</v>
      </c>
      <c r="B6" s="329" t="s">
        <v>2101</v>
      </c>
    </row>
    <row r="7" spans="1:2" x14ac:dyDescent="0.2">
      <c r="A7" s="1066">
        <v>3</v>
      </c>
      <c r="B7" s="329" t="s">
        <v>2102</v>
      </c>
    </row>
    <row r="8" spans="1:2" x14ac:dyDescent="0.2">
      <c r="A8" s="1066">
        <v>4</v>
      </c>
      <c r="B8" s="329" t="s">
        <v>2103</v>
      </c>
    </row>
    <row r="9" spans="1:2" x14ac:dyDescent="0.2">
      <c r="A9" s="1065"/>
      <c r="B9" s="329" t="s">
        <v>2104</v>
      </c>
    </row>
    <row r="10" spans="1:2" x14ac:dyDescent="0.2">
      <c r="A10" s="1066"/>
      <c r="B10" s="329" t="s">
        <v>2105</v>
      </c>
    </row>
    <row r="11" spans="1:2" x14ac:dyDescent="0.2">
      <c r="A11" s="1066"/>
      <c r="B11" s="329" t="s">
        <v>2106</v>
      </c>
    </row>
    <row r="12" spans="1:2" x14ac:dyDescent="0.2">
      <c r="A12" s="1066">
        <v>5</v>
      </c>
      <c r="B12" s="329" t="s">
        <v>2107</v>
      </c>
    </row>
    <row r="13" spans="1:2" x14ac:dyDescent="0.2">
      <c r="A13" s="1066">
        <v>6</v>
      </c>
      <c r="B13" s="329" t="s">
        <v>2108</v>
      </c>
    </row>
    <row r="14" spans="1:2" x14ac:dyDescent="0.2">
      <c r="A14" s="1066">
        <v>7</v>
      </c>
      <c r="B14" s="329" t="s">
        <v>2109</v>
      </c>
    </row>
    <row r="15" spans="1:2" x14ac:dyDescent="0.2">
      <c r="A15" s="1066">
        <v>8</v>
      </c>
      <c r="B15" s="329" t="s">
        <v>2110</v>
      </c>
    </row>
    <row r="16" spans="1:2" x14ac:dyDescent="0.2">
      <c r="A16" s="1066">
        <v>9</v>
      </c>
      <c r="B16" s="329" t="s">
        <v>2111</v>
      </c>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c r="B65" s="258" t="str">
        <f>COVER!A17</f>
        <v>Putnam County CUSD 535</v>
      </c>
    </row>
    <row r="66" spans="1:2" x14ac:dyDescent="0.2">
      <c r="B66" s="1067">
        <f>COVER!A13</f>
        <v>35078535026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6" t="s">
        <v>1685</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1019175</xdr:colOff>
                <xdr:row>1</xdr:row>
                <xdr:rowOff>9525</xdr:rowOff>
              </from>
              <to>
                <xdr:col>1</xdr:col>
                <xdr:colOff>1933575</xdr:colOff>
                <xdr:row>5</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1"/>
      <c r="H2" s="1071"/>
    </row>
    <row r="3" spans="1:8" ht="57" customHeight="1" x14ac:dyDescent="0.2">
      <c r="A3" s="2350" t="s">
        <v>1686</v>
      </c>
      <c r="B3" s="2351"/>
      <c r="C3" s="2351"/>
      <c r="D3" s="2351"/>
      <c r="E3" s="2351"/>
      <c r="F3" s="2352"/>
      <c r="G3" s="1071"/>
      <c r="H3" s="1071"/>
    </row>
    <row r="4" spans="1:8" ht="14.25" customHeight="1" x14ac:dyDescent="0.2">
      <c r="A4" s="2356" t="s">
        <v>1988</v>
      </c>
      <c r="B4" s="2357"/>
      <c r="C4" s="2357"/>
      <c r="D4" s="2357"/>
      <c r="E4" s="2357"/>
      <c r="F4" s="2358"/>
      <c r="G4" s="1071"/>
      <c r="H4" s="1071"/>
    </row>
    <row r="5" spans="1:8" ht="14.25" customHeight="1" x14ac:dyDescent="0.2">
      <c r="A5" s="2359" t="s">
        <v>1984</v>
      </c>
      <c r="B5" s="2360"/>
      <c r="C5" s="2360"/>
      <c r="D5" s="2360"/>
      <c r="E5" s="2360"/>
      <c r="F5" s="2361"/>
      <c r="G5" s="1071"/>
      <c r="H5" s="1071"/>
    </row>
    <row r="6" spans="1:8" s="1072" customFormat="1" ht="41.25" customHeight="1" x14ac:dyDescent="0.2">
      <c r="A6" s="2353" t="s">
        <v>1691</v>
      </c>
      <c r="B6" s="2354"/>
      <c r="C6" s="2354"/>
      <c r="D6" s="2354"/>
      <c r="E6" s="2354"/>
      <c r="F6" s="235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8623279</v>
      </c>
      <c r="C8" s="1812">
        <f>'Acct Summary 7-8'!D8</f>
        <v>1050515</v>
      </c>
      <c r="D8" s="1812">
        <f>'Acct Summary 7-8'!F8</f>
        <v>805017</v>
      </c>
      <c r="E8" s="1812">
        <f>'Acct Summary 7-8'!I8</f>
        <v>99244</v>
      </c>
      <c r="F8" s="1812">
        <f>SUM(B8:E8)</f>
        <v>10578055</v>
      </c>
    </row>
    <row r="9" spans="1:8" s="1076" customFormat="1" ht="14.25" customHeight="1" thickBot="1" x14ac:dyDescent="0.25">
      <c r="A9" s="1075" t="s">
        <v>1369</v>
      </c>
      <c r="B9" s="1813">
        <f>'Acct Summary 7-8'!C17</f>
        <v>8271177</v>
      </c>
      <c r="C9" s="1813">
        <f>'Acct Summary 7-8'!D17</f>
        <v>1053476</v>
      </c>
      <c r="D9" s="1813">
        <f>'Acct Summary 7-8'!F17</f>
        <v>999608</v>
      </c>
      <c r="E9" s="1812"/>
      <c r="F9" s="1812">
        <f>SUM(B9:E9)</f>
        <v>10324261</v>
      </c>
    </row>
    <row r="10" spans="1:8" s="1076" customFormat="1" ht="14.25" thickTop="1" thickBot="1" x14ac:dyDescent="0.25">
      <c r="A10" s="1077" t="s">
        <v>1370</v>
      </c>
      <c r="B10" s="1814">
        <f>(B8-B9)</f>
        <v>352102</v>
      </c>
      <c r="C10" s="1814">
        <f>(C8-C9)</f>
        <v>-2961</v>
      </c>
      <c r="D10" s="1814">
        <f>(D8-D9)</f>
        <v>-194591</v>
      </c>
      <c r="E10" s="1813">
        <f>(E8-E9)</f>
        <v>99244</v>
      </c>
      <c r="F10" s="1815">
        <f>SUM(F8-F9)</f>
        <v>253794</v>
      </c>
    </row>
    <row r="11" spans="1:8" s="1076" customFormat="1" ht="14.25" thickTop="1" thickBot="1" x14ac:dyDescent="0.25">
      <c r="A11" s="1078" t="s">
        <v>1985</v>
      </c>
      <c r="B11" s="1816">
        <f>'Acct Summary 7-8'!C81</f>
        <v>4240812</v>
      </c>
      <c r="C11" s="1816">
        <f>'Acct Summary 7-8'!D81</f>
        <v>199920</v>
      </c>
      <c r="D11" s="1816">
        <f>'Acct Summary 7-8'!F81</f>
        <v>488261</v>
      </c>
      <c r="E11" s="1816">
        <f>'Acct Summary 7-8'!I81</f>
        <v>2566125</v>
      </c>
      <c r="F11" s="1817">
        <f>SUM(B11:E11)</f>
        <v>7495118</v>
      </c>
    </row>
    <row r="12" spans="1:8" ht="16.5" customHeight="1" thickTop="1" x14ac:dyDescent="0.2">
      <c r="A12" s="1079"/>
      <c r="B12" s="1080"/>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1"/>
      <c r="B13" s="1082"/>
      <c r="C13" s="2341"/>
      <c r="D13" s="2342"/>
      <c r="E13" s="2342"/>
      <c r="F13" s="2343"/>
      <c r="H13" s="1071"/>
    </row>
    <row r="14" spans="1:8" ht="19.5" customHeight="1" x14ac:dyDescent="0.2">
      <c r="A14" s="1081"/>
      <c r="B14" s="1082"/>
      <c r="C14" s="2341"/>
      <c r="D14" s="2342"/>
      <c r="E14" s="2342"/>
      <c r="F14" s="2343"/>
      <c r="H14" s="1071"/>
    </row>
    <row r="15" spans="1:8" ht="17.25" customHeight="1" x14ac:dyDescent="0.2">
      <c r="A15" s="1081"/>
      <c r="B15" s="1082"/>
      <c r="C15" s="2344"/>
      <c r="D15" s="2345"/>
      <c r="E15" s="2345"/>
      <c r="F15" s="2346"/>
      <c r="H15" s="1071"/>
    </row>
    <row r="16" spans="1:8" s="310" customFormat="1" ht="51.75" hidden="1" customHeight="1" x14ac:dyDescent="0.2">
      <c r="A16" s="2340" t="s">
        <v>1687</v>
      </c>
      <c r="B16" s="2340"/>
      <c r="C16" s="2340"/>
      <c r="D16" s="2340"/>
      <c r="E16" s="234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2" t="s">
        <v>665</v>
      </c>
      <c r="B3" s="2363"/>
      <c r="C3" s="2363"/>
      <c r="D3" s="2364"/>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3" t="s">
        <v>1504</v>
      </c>
      <c r="D7" s="2374"/>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5" t="s">
        <v>1008</v>
      </c>
      <c r="B15" s="2366"/>
      <c r="C15" s="2366"/>
      <c r="D15" s="2367"/>
    </row>
    <row r="16" spans="1:4" s="665" customFormat="1" ht="24" customHeight="1" x14ac:dyDescent="0.2">
      <c r="A16" s="2368" t="s">
        <v>663</v>
      </c>
      <c r="B16" s="2369"/>
      <c r="C16" s="2369"/>
      <c r="D16" s="2370"/>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7" t="s">
        <v>314</v>
      </c>
      <c r="D21" s="2378"/>
    </row>
    <row r="22" spans="1:10" ht="12.75" x14ac:dyDescent="0.2">
      <c r="A22" s="1136"/>
      <c r="B22" s="1137">
        <v>2</v>
      </c>
      <c r="C22" s="2375" t="s">
        <v>1524</v>
      </c>
      <c r="D22" s="237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9" t="s">
        <v>536</v>
      </c>
      <c r="D43" s="238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1" t="s">
        <v>784</v>
      </c>
      <c r="D56" s="237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71" t="s">
        <v>1696</v>
      </c>
      <c r="D70" s="237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35078535026</v>
      </c>
    </row>
    <row r="3" spans="1:2" x14ac:dyDescent="0.2">
      <c r="A3" t="s">
        <v>956</v>
      </c>
      <c r="B3" s="138" t="str">
        <f>COVER!A15</f>
        <v>Putnam</v>
      </c>
    </row>
    <row r="4" spans="1:2" x14ac:dyDescent="0.2">
      <c r="A4" t="s">
        <v>1007</v>
      </c>
      <c r="B4" s="138" t="str">
        <f>COVER!A17</f>
        <v>Putnam County CUSD 535</v>
      </c>
    </row>
    <row r="5" spans="1:2" x14ac:dyDescent="0.2">
      <c r="A5" t="s">
        <v>704</v>
      </c>
      <c r="B5" s="138" t="str">
        <f>COVER!A38</f>
        <v>Carl Carlson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3700633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4240812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4240410</v>
      </c>
      <c r="D92" s="2" t="str">
        <f t="shared" si="0"/>
        <v>Error?</v>
      </c>
    </row>
    <row r="93" spans="1:4" x14ac:dyDescent="0.2">
      <c r="A93" s="5">
        <v>32</v>
      </c>
      <c r="B93" s="138">
        <f>'Assets-Liab 5-6'!C41</f>
        <v>4240812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137501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199920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199920</v>
      </c>
      <c r="D123" s="2" t="str">
        <f t="shared" si="0"/>
        <v>Error?</v>
      </c>
    </row>
    <row r="124" spans="1:4" x14ac:dyDescent="0.2">
      <c r="A124" s="5">
        <v>63</v>
      </c>
      <c r="B124" s="138">
        <f>'Assets-Liab 5-6'!D41</f>
        <v>199920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28163</v>
      </c>
      <c r="D129" s="2" t="str">
        <f t="shared" si="1"/>
        <v>Error?</v>
      </c>
    </row>
    <row r="130" spans="1:4" x14ac:dyDescent="0.2">
      <c r="A130" s="5">
        <v>69</v>
      </c>
      <c r="B130" s="138">
        <f>'Assets-Liab 5-6'!E12</f>
        <v>0</v>
      </c>
      <c r="D130" s="2" t="str">
        <f t="shared" si="1"/>
        <v>Error?</v>
      </c>
    </row>
    <row r="131" spans="1:4" x14ac:dyDescent="0.2">
      <c r="A131" s="5">
        <v>70</v>
      </c>
      <c r="B131" s="138">
        <f>'Assets-Liab 5-6'!E13</f>
        <v>120219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120219</v>
      </c>
      <c r="D140" s="2" t="str">
        <f t="shared" si="1"/>
        <v>Error?</v>
      </c>
    </row>
    <row r="141" spans="1:4" x14ac:dyDescent="0.2">
      <c r="A141" s="5">
        <v>80</v>
      </c>
      <c r="B141" s="138">
        <f>'Assets-Liab 5-6'!E41</f>
        <v>120219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429948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488261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488261</v>
      </c>
      <c r="D170" s="2" t="str">
        <f t="shared" si="1"/>
        <v>Error?</v>
      </c>
    </row>
    <row r="171" spans="1:4" x14ac:dyDescent="0.2">
      <c r="A171" s="5">
        <v>110</v>
      </c>
      <c r="B171" s="138">
        <f>'Assets-Liab 5-6'!F41</f>
        <v>488261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162457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411563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286185</v>
      </c>
      <c r="D189" s="2" t="str">
        <f t="shared" si="1"/>
        <v>Error?</v>
      </c>
    </row>
    <row r="190" spans="1:4" x14ac:dyDescent="0.2">
      <c r="A190" s="5">
        <v>129</v>
      </c>
      <c r="B190" s="138">
        <f>'Assets-Liab 5-6'!G41</f>
        <v>411563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241877</v>
      </c>
      <c r="D273" s="2" t="str">
        <f t="shared" si="3"/>
        <v>Error?</v>
      </c>
    </row>
    <row r="274" spans="1:4" x14ac:dyDescent="0.2">
      <c r="A274" s="5">
        <v>213</v>
      </c>
      <c r="B274" s="138">
        <f>'Assets-Liab 5-6'!M17</f>
        <v>17049867</v>
      </c>
      <c r="D274" s="2" t="str">
        <f t="shared" si="3"/>
        <v>Error?</v>
      </c>
    </row>
    <row r="275" spans="1:4" x14ac:dyDescent="0.2">
      <c r="A275" s="5">
        <v>214</v>
      </c>
      <c r="B275" s="138">
        <f>'Assets-Liab 5-6'!M18</f>
        <v>2782994</v>
      </c>
      <c r="D275" s="2" t="str">
        <f t="shared" si="3"/>
        <v>Error?</v>
      </c>
    </row>
    <row r="276" spans="1:4" x14ac:dyDescent="0.2">
      <c r="A276" s="5">
        <v>215</v>
      </c>
      <c r="B276" s="138">
        <f>'Assets-Liab 5-6'!M19</f>
        <v>730864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20805602</v>
      </c>
      <c r="C279" s="2" t="s">
        <v>573</v>
      </c>
      <c r="D279" s="2" t="str">
        <f t="shared" si="3"/>
        <v>Error?</v>
      </c>
    </row>
    <row r="280" spans="1:4" x14ac:dyDescent="0.2">
      <c r="A280" s="5">
        <v>219</v>
      </c>
      <c r="B280" s="138">
        <f>'Assets-Liab 5-6'!M40</f>
        <v>20805602</v>
      </c>
      <c r="D280" s="2" t="str">
        <f t="shared" si="3"/>
        <v>Error?</v>
      </c>
    </row>
    <row r="281" spans="1:4" x14ac:dyDescent="0.2">
      <c r="A281" s="5">
        <v>220</v>
      </c>
      <c r="B281" s="138">
        <f>'Assets-Liab 5-6'!M41</f>
        <v>20805602</v>
      </c>
      <c r="C281" s="2" t="s">
        <v>573</v>
      </c>
      <c r="D281" s="2" t="str">
        <f t="shared" si="3"/>
        <v>Error?</v>
      </c>
    </row>
    <row r="282" spans="1:4" x14ac:dyDescent="0.2">
      <c r="A282" s="5">
        <v>221</v>
      </c>
      <c r="B282" s="138">
        <f>'Assets-Liab 5-6'!N21</f>
        <v>120219</v>
      </c>
      <c r="D282" s="2" t="str">
        <f t="shared" si="3"/>
        <v>Error?</v>
      </c>
    </row>
    <row r="283" spans="1:4" x14ac:dyDescent="0.2">
      <c r="A283" s="5">
        <v>222</v>
      </c>
      <c r="B283" s="138">
        <f>'Assets-Liab 5-6'!N22</f>
        <v>99781</v>
      </c>
      <c r="D283" s="2" t="str">
        <f t="shared" si="3"/>
        <v>Error?</v>
      </c>
    </row>
    <row r="284" spans="1:4" x14ac:dyDescent="0.2">
      <c r="A284" s="5">
        <v>223</v>
      </c>
      <c r="B284" s="138">
        <f>'Assets-Liab 5-6'!N23</f>
        <v>220000</v>
      </c>
      <c r="C284" s="2" t="s">
        <v>573</v>
      </c>
      <c r="D284" s="2" t="str">
        <f t="shared" si="3"/>
        <v>Error?</v>
      </c>
    </row>
    <row r="285" spans="1:4" x14ac:dyDescent="0.2">
      <c r="A285" s="5">
        <v>224</v>
      </c>
      <c r="B285" s="138">
        <f>'Assets-Liab 5-6'!N36</f>
        <v>220000</v>
      </c>
      <c r="D285" s="2" t="str">
        <f t="shared" si="3"/>
        <v>Error?</v>
      </c>
    </row>
    <row r="286" spans="1:4" x14ac:dyDescent="0.2">
      <c r="A286" s="10">
        <v>225</v>
      </c>
      <c r="D286" s="2" t="str">
        <f t="shared" si="3"/>
        <v>OK</v>
      </c>
    </row>
    <row r="287" spans="1:4" x14ac:dyDescent="0.2">
      <c r="A287" s="5">
        <v>226</v>
      </c>
      <c r="B287" s="138">
        <f>'Assets-Liab 5-6'!N37</f>
        <v>220000</v>
      </c>
      <c r="C287" s="2" t="s">
        <v>573</v>
      </c>
      <c r="D287" s="2" t="str">
        <f t="shared" si="3"/>
        <v>Error?</v>
      </c>
    </row>
    <row r="288" spans="1:4" x14ac:dyDescent="0.2">
      <c r="A288" s="5">
        <v>227</v>
      </c>
      <c r="B288" s="138">
        <f>'Assets-Liab 5-6'!N41</f>
        <v>220000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2469461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150383</v>
      </c>
      <c r="D717" s="2" t="str">
        <f t="shared" si="10"/>
        <v>Error?</v>
      </c>
    </row>
    <row r="718" spans="1:4" x14ac:dyDescent="0.2">
      <c r="A718" s="5">
        <v>657</v>
      </c>
      <c r="B718" s="138">
        <f>'Expenditures 15-22'!C14</f>
        <v>149219</v>
      </c>
      <c r="D718" s="2" t="str">
        <f t="shared" si="10"/>
        <v>Error?</v>
      </c>
    </row>
    <row r="719" spans="1:4" x14ac:dyDescent="0.2">
      <c r="A719" s="5">
        <v>658</v>
      </c>
      <c r="B719" s="138">
        <f>'Expenditures 15-22'!C15</f>
        <v>9450</v>
      </c>
      <c r="D719" s="2" t="str">
        <f t="shared" si="10"/>
        <v>Error?</v>
      </c>
    </row>
    <row r="720" spans="1:4" x14ac:dyDescent="0.2">
      <c r="A720" s="5">
        <v>659</v>
      </c>
      <c r="B720" s="138">
        <f>'Expenditures 15-22'!C33</f>
        <v>3955379</v>
      </c>
      <c r="C720" s="2" t="s">
        <v>573</v>
      </c>
      <c r="D720" s="2" t="str">
        <f t="shared" si="10"/>
        <v>Error?</v>
      </c>
    </row>
    <row r="721" spans="1:4" x14ac:dyDescent="0.2">
      <c r="A721" s="5">
        <v>660</v>
      </c>
      <c r="B721" s="138">
        <f>'Expenditures 15-22'!C36</f>
        <v>115330</v>
      </c>
      <c r="D721" s="2" t="str">
        <f t="shared" si="10"/>
        <v>Error?</v>
      </c>
    </row>
    <row r="722" spans="1:4" x14ac:dyDescent="0.2">
      <c r="A722" s="5">
        <v>661</v>
      </c>
      <c r="B722" s="138">
        <f>'Expenditures 15-22'!C37</f>
        <v>44415</v>
      </c>
      <c r="D722" s="2" t="str">
        <f t="shared" si="10"/>
        <v>Error?</v>
      </c>
    </row>
    <row r="723" spans="1:4" x14ac:dyDescent="0.2">
      <c r="A723" s="5">
        <v>662</v>
      </c>
      <c r="B723" s="138">
        <f>'Expenditures 15-22'!C38</f>
        <v>43839</v>
      </c>
      <c r="D723" s="2" t="str">
        <f t="shared" si="10"/>
        <v>Error?</v>
      </c>
    </row>
    <row r="724" spans="1:4" x14ac:dyDescent="0.2">
      <c r="A724" s="5">
        <v>663</v>
      </c>
      <c r="B724" s="138">
        <f>'Expenditures 15-22'!C39</f>
        <v>16440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220024</v>
      </c>
      <c r="C727" s="2" t="s">
        <v>573</v>
      </c>
      <c r="D727" s="2" t="str">
        <f t="shared" si="10"/>
        <v>Error?</v>
      </c>
    </row>
    <row r="728" spans="1:4" x14ac:dyDescent="0.2">
      <c r="A728" s="5">
        <v>667</v>
      </c>
      <c r="B728" s="138">
        <f>'Expenditures 15-22'!C44</f>
        <v>38294</v>
      </c>
      <c r="D728" s="2" t="str">
        <f t="shared" si="10"/>
        <v>Error?</v>
      </c>
    </row>
    <row r="729" spans="1:4" x14ac:dyDescent="0.2">
      <c r="A729" s="5">
        <v>668</v>
      </c>
      <c r="B729" s="138">
        <f>'Expenditures 15-22'!C45</f>
        <v>221566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259860</v>
      </c>
      <c r="C731" s="2" t="s">
        <v>573</v>
      </c>
      <c r="D731" s="2" t="str">
        <f t="shared" si="10"/>
        <v>Error?</v>
      </c>
    </row>
    <row r="732" spans="1:4" x14ac:dyDescent="0.2">
      <c r="A732" s="5">
        <v>671</v>
      </c>
      <c r="B732" s="138">
        <f>'Expenditures 15-22'!C49</f>
        <v>5966</v>
      </c>
      <c r="D732" s="2" t="str">
        <f t="shared" si="10"/>
        <v>Error?</v>
      </c>
    </row>
    <row r="733" spans="1:4" x14ac:dyDescent="0.2">
      <c r="A733" s="5">
        <v>672</v>
      </c>
      <c r="B733" s="138">
        <f>'Expenditures 15-22'!C50</f>
        <v>94317</v>
      </c>
      <c r="D733" s="2" t="str">
        <f t="shared" si="10"/>
        <v>Error?</v>
      </c>
    </row>
    <row r="734" spans="1:4" x14ac:dyDescent="0.2">
      <c r="A734" s="5">
        <v>673</v>
      </c>
      <c r="B734" s="138">
        <f>'Expenditures 15-22'!C53</f>
        <v>100283</v>
      </c>
      <c r="C734" s="2" t="s">
        <v>573</v>
      </c>
      <c r="D734" s="2" t="str">
        <f t="shared" si="10"/>
        <v>Error?</v>
      </c>
    </row>
    <row r="735" spans="1:4" x14ac:dyDescent="0.2">
      <c r="A735" s="5">
        <v>674</v>
      </c>
      <c r="B735" s="138">
        <f>'Expenditures 15-22'!C55</f>
        <v>520347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520347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116959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172345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289304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1389818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5345197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643906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39237</v>
      </c>
      <c r="D775" s="2" t="str">
        <f t="shared" si="11"/>
        <v>Error?</v>
      </c>
    </row>
    <row r="776" spans="1:4" x14ac:dyDescent="0.2">
      <c r="A776" s="5">
        <v>715</v>
      </c>
      <c r="B776" s="138">
        <f>'Expenditures 15-22'!D14</f>
        <v>13123</v>
      </c>
      <c r="D776" s="2" t="str">
        <f t="shared" si="11"/>
        <v>Error?</v>
      </c>
    </row>
    <row r="777" spans="1:4" x14ac:dyDescent="0.2">
      <c r="A777" s="5">
        <v>716</v>
      </c>
      <c r="B777" s="138">
        <f>'Expenditures 15-22'!D15</f>
        <v>518</v>
      </c>
      <c r="D777" s="2" t="str">
        <f t="shared" si="11"/>
        <v>Error?</v>
      </c>
    </row>
    <row r="778" spans="1:4" x14ac:dyDescent="0.2">
      <c r="A778" s="5">
        <v>717</v>
      </c>
      <c r="B778" s="138">
        <f>'Expenditures 15-22'!D33</f>
        <v>979041</v>
      </c>
      <c r="C778" s="2" t="s">
        <v>573</v>
      </c>
      <c r="D778" s="2" t="str">
        <f t="shared" si="11"/>
        <v>Error?</v>
      </c>
    </row>
    <row r="779" spans="1:4" x14ac:dyDescent="0.2">
      <c r="A779" s="5">
        <v>718</v>
      </c>
      <c r="B779" s="138">
        <f>'Expenditures 15-22'!D36</f>
        <v>32716</v>
      </c>
      <c r="D779" s="2" t="str">
        <f t="shared" si="11"/>
        <v>Error?</v>
      </c>
    </row>
    <row r="780" spans="1:4" x14ac:dyDescent="0.2">
      <c r="A780" s="5">
        <v>719</v>
      </c>
      <c r="B780" s="138">
        <f>'Expenditures 15-22'!D37</f>
        <v>12342</v>
      </c>
      <c r="D780" s="2" t="str">
        <f t="shared" si="11"/>
        <v>Error?</v>
      </c>
    </row>
    <row r="781" spans="1:4" x14ac:dyDescent="0.2">
      <c r="A781" s="5">
        <v>720</v>
      </c>
      <c r="B781" s="138">
        <f>'Expenditures 15-22'!D38</f>
        <v>6442</v>
      </c>
      <c r="D781" s="2" t="str">
        <f t="shared" si="11"/>
        <v>Error?</v>
      </c>
    </row>
    <row r="782" spans="1:4" x14ac:dyDescent="0.2">
      <c r="A782" s="5">
        <v>721</v>
      </c>
      <c r="B782" s="138">
        <f>'Expenditures 15-22'!D39</f>
        <v>4616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56116</v>
      </c>
      <c r="C785" s="2" t="s">
        <v>573</v>
      </c>
      <c r="D785" s="2" t="str">
        <f t="shared" si="11"/>
        <v>Error?</v>
      </c>
    </row>
    <row r="786" spans="1:4" x14ac:dyDescent="0.2">
      <c r="A786" s="5">
        <v>725</v>
      </c>
      <c r="B786" s="138">
        <f>'Expenditures 15-22'!D44</f>
        <v>7884</v>
      </c>
      <c r="D786" s="2" t="str">
        <f t="shared" si="11"/>
        <v>Error?</v>
      </c>
    </row>
    <row r="787" spans="1:4" x14ac:dyDescent="0.2">
      <c r="A787" s="5">
        <v>726</v>
      </c>
      <c r="B787" s="138">
        <f>'Expenditures 15-22'!D45</f>
        <v>22144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30028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38813</v>
      </c>
      <c r="D791" s="2" t="str">
        <f t="shared" si="11"/>
        <v>Error?</v>
      </c>
    </row>
    <row r="792" spans="1:4" x14ac:dyDescent="0.2">
      <c r="A792" s="5">
        <v>731</v>
      </c>
      <c r="B792" s="138">
        <f>'Expenditures 15-22'!D53</f>
        <v>38813</v>
      </c>
      <c r="C792" s="2" t="s">
        <v>573</v>
      </c>
      <c r="D792" s="2" t="str">
        <f t="shared" si="11"/>
        <v>Error?</v>
      </c>
    </row>
    <row r="793" spans="1:4" x14ac:dyDescent="0.2">
      <c r="A793" s="5">
        <v>732</v>
      </c>
      <c r="B793" s="138">
        <f>'Expenditures 15-22'!D55</f>
        <v>156530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156530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29439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29570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311057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1290098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97167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1094</v>
      </c>
      <c r="D833" s="2" t="str">
        <f t="shared" si="12"/>
        <v>Error?</v>
      </c>
    </row>
    <row r="834" spans="1:4" x14ac:dyDescent="0.2">
      <c r="A834" s="5">
        <v>773</v>
      </c>
      <c r="B834" s="138">
        <f>'Expenditures 15-22'!E14</f>
        <v>26042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228963</v>
      </c>
      <c r="C836" s="2" t="s">
        <v>573</v>
      </c>
      <c r="D836" s="2" t="str">
        <f t="shared" si="12"/>
        <v>Error?</v>
      </c>
    </row>
    <row r="837" spans="1:4" x14ac:dyDescent="0.2">
      <c r="A837" s="5">
        <v>776</v>
      </c>
      <c r="B837" s="138">
        <f>'Expenditures 15-22'!E36</f>
        <v>427</v>
      </c>
      <c r="D837" s="2" t="str">
        <f t="shared" si="12"/>
        <v>Error?</v>
      </c>
    </row>
    <row r="838" spans="1:4" x14ac:dyDescent="0.2">
      <c r="A838" s="5">
        <v>777</v>
      </c>
      <c r="B838" s="138">
        <f>'Expenditures 15-22'!E37</f>
        <v>87</v>
      </c>
      <c r="D838" s="2" t="str">
        <f t="shared" si="12"/>
        <v>Error?</v>
      </c>
    </row>
    <row r="839" spans="1:4" x14ac:dyDescent="0.2">
      <c r="A839" s="5">
        <v>778</v>
      </c>
      <c r="B839" s="138">
        <f>'Expenditures 15-22'!E38</f>
        <v>657</v>
      </c>
      <c r="D839" s="2" t="str">
        <f t="shared" si="12"/>
        <v>Error?</v>
      </c>
    </row>
    <row r="840" spans="1:4" x14ac:dyDescent="0.2">
      <c r="A840" s="5">
        <v>779</v>
      </c>
      <c r="B840" s="138">
        <f>'Expenditures 15-22'!E39</f>
        <v>11489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9419</v>
      </c>
      <c r="D842" s="2" t="str">
        <f t="shared" si="12"/>
        <v>Error?</v>
      </c>
    </row>
    <row r="843" spans="1:4" x14ac:dyDescent="0.2">
      <c r="A843" s="5">
        <v>782</v>
      </c>
      <c r="B843" s="138">
        <f>'Expenditures 15-22'!E42</f>
        <v>22079</v>
      </c>
      <c r="C843" s="2" t="s">
        <v>573</v>
      </c>
      <c r="D843" s="2" t="str">
        <f t="shared" si="12"/>
        <v>Error?</v>
      </c>
    </row>
    <row r="844" spans="1:4" x14ac:dyDescent="0.2">
      <c r="A844" s="5">
        <v>783</v>
      </c>
      <c r="B844" s="138">
        <f>'Expenditures 15-22'!E44</f>
        <v>48238</v>
      </c>
      <c r="D844" s="2" t="str">
        <f t="shared" si="12"/>
        <v>Error?</v>
      </c>
    </row>
    <row r="845" spans="1:4" x14ac:dyDescent="0.2">
      <c r="A845" s="5">
        <v>784</v>
      </c>
      <c r="B845" s="138">
        <f>'Expenditures 15-22'!E45</f>
        <v>3320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51558</v>
      </c>
      <c r="C847" s="2" t="s">
        <v>573</v>
      </c>
      <c r="D847" s="2" t="str">
        <f t="shared" si="12"/>
        <v>Error?</v>
      </c>
    </row>
    <row r="848" spans="1:4" x14ac:dyDescent="0.2">
      <c r="A848" s="5">
        <v>787</v>
      </c>
      <c r="B848" s="138">
        <f>'Expenditures 15-22'!E49</f>
        <v>50127</v>
      </c>
      <c r="D848" s="2" t="str">
        <f t="shared" si="12"/>
        <v>Error?</v>
      </c>
    </row>
    <row r="849" spans="1:4" x14ac:dyDescent="0.2">
      <c r="A849" s="5">
        <v>788</v>
      </c>
      <c r="B849" s="138">
        <f>'Expenditures 15-22'!E50</f>
        <v>16278</v>
      </c>
      <c r="D849" s="2" t="str">
        <f t="shared" si="12"/>
        <v>Error?</v>
      </c>
    </row>
    <row r="850" spans="1:4" x14ac:dyDescent="0.2">
      <c r="A850" s="5">
        <v>789</v>
      </c>
      <c r="B850" s="138">
        <f>'Expenditures 15-22'!E53</f>
        <v>66405</v>
      </c>
      <c r="C850" s="2" t="s">
        <v>573</v>
      </c>
      <c r="D850" s="2" t="str">
        <f t="shared" si="12"/>
        <v>Error?</v>
      </c>
    </row>
    <row r="851" spans="1:4" x14ac:dyDescent="0.2">
      <c r="A851" s="5">
        <v>790</v>
      </c>
      <c r="B851" s="138">
        <f>'Expenditures 15-22'!E55</f>
        <v>4431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4431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2917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2917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147563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472762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236507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10378</v>
      </c>
      <c r="D891" s="2" t="str">
        <f t="shared" si="12"/>
        <v>Error?</v>
      </c>
    </row>
    <row r="892" spans="1:4" x14ac:dyDescent="0.2">
      <c r="A892" s="5">
        <v>831</v>
      </c>
      <c r="B892" s="138">
        <f>'Expenditures 15-22'!F14</f>
        <v>29800</v>
      </c>
      <c r="D892" s="2" t="str">
        <f t="shared" si="12"/>
        <v>Error?</v>
      </c>
    </row>
    <row r="893" spans="1:4" x14ac:dyDescent="0.2">
      <c r="A893" s="5">
        <v>832</v>
      </c>
      <c r="B893" s="138">
        <f>'Expenditures 15-22'!F15</f>
        <v>8</v>
      </c>
      <c r="D893" s="2" t="str">
        <f t="shared" si="12"/>
        <v>Error?</v>
      </c>
    </row>
    <row r="894" spans="1:4" x14ac:dyDescent="0.2">
      <c r="A894" s="5">
        <v>833</v>
      </c>
      <c r="B894" s="138">
        <f>'Expenditures 15-22'!F33</f>
        <v>338895</v>
      </c>
      <c r="C894" s="2" t="s">
        <v>573</v>
      </c>
      <c r="D894" s="2" t="str">
        <f t="shared" si="12"/>
        <v>Error?</v>
      </c>
    </row>
    <row r="895" spans="1:4" x14ac:dyDescent="0.2">
      <c r="A895" s="5">
        <v>834</v>
      </c>
      <c r="B895" s="138">
        <f>'Expenditures 15-22'!F36</f>
        <v>1702</v>
      </c>
      <c r="D895" s="2" t="str">
        <f t="shared" ref="D895:D958" si="13">IF(ISBLANK(B895),"OK",IF(A895-B895=0,"OK","Error?"))</f>
        <v>Error?</v>
      </c>
    </row>
    <row r="896" spans="1:4" x14ac:dyDescent="0.2">
      <c r="A896" s="5">
        <v>835</v>
      </c>
      <c r="B896" s="138">
        <f>'Expenditures 15-22'!F37</f>
        <v>372</v>
      </c>
      <c r="D896" s="2" t="str">
        <f t="shared" si="13"/>
        <v>Error?</v>
      </c>
    </row>
    <row r="897" spans="1:4" x14ac:dyDescent="0.2">
      <c r="A897" s="5">
        <v>836</v>
      </c>
      <c r="B897" s="138">
        <f>'Expenditures 15-22'!F38</f>
        <v>987</v>
      </c>
      <c r="D897" s="2" t="str">
        <f t="shared" si="13"/>
        <v>Error?</v>
      </c>
    </row>
    <row r="898" spans="1:4" x14ac:dyDescent="0.2">
      <c r="A898" s="5">
        <v>837</v>
      </c>
      <c r="B898" s="138">
        <f>'Expenditures 15-22'!F39</f>
        <v>775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3836</v>
      </c>
      <c r="C901" s="2" t="s">
        <v>573</v>
      </c>
      <c r="D901" s="2" t="str">
        <f t="shared" si="13"/>
        <v>Error?</v>
      </c>
    </row>
    <row r="902" spans="1:4" x14ac:dyDescent="0.2">
      <c r="A902" s="5">
        <v>841</v>
      </c>
      <c r="B902" s="138">
        <f>'Expenditures 15-22'!F44</f>
        <v>8044</v>
      </c>
      <c r="D902" s="2" t="str">
        <f t="shared" si="13"/>
        <v>Error?</v>
      </c>
    </row>
    <row r="903" spans="1:4" x14ac:dyDescent="0.2">
      <c r="A903" s="5">
        <v>842</v>
      </c>
      <c r="B903" s="138">
        <f>'Expenditures 15-22'!F45</f>
        <v>13080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21124</v>
      </c>
      <c r="C905" s="2" t="s">
        <v>573</v>
      </c>
      <c r="D905" s="2" t="str">
        <f t="shared" si="13"/>
        <v>Error?</v>
      </c>
    </row>
    <row r="906" spans="1:4" x14ac:dyDescent="0.2">
      <c r="A906" s="5">
        <v>845</v>
      </c>
      <c r="B906" s="138">
        <f>'Expenditures 15-22'!F49</f>
        <v>24872</v>
      </c>
      <c r="D906" s="2" t="str">
        <f t="shared" si="13"/>
        <v>Error?</v>
      </c>
    </row>
    <row r="907" spans="1:4" x14ac:dyDescent="0.2">
      <c r="A907" s="5">
        <v>846</v>
      </c>
      <c r="B907" s="138">
        <f>'Expenditures 15-22'!F50</f>
        <v>4808</v>
      </c>
      <c r="D907" s="2" t="str">
        <f t="shared" si="13"/>
        <v>Error?</v>
      </c>
    </row>
    <row r="908" spans="1:4" x14ac:dyDescent="0.2">
      <c r="A908" s="5">
        <v>847</v>
      </c>
      <c r="B908" s="138">
        <f>'Expenditures 15-22'!F53</f>
        <v>29680</v>
      </c>
      <c r="C908" s="2" t="s">
        <v>573</v>
      </c>
      <c r="D908" s="2" t="str">
        <f t="shared" si="13"/>
        <v>Error?</v>
      </c>
    </row>
    <row r="909" spans="1:4" x14ac:dyDescent="0.2">
      <c r="A909" s="5">
        <v>848</v>
      </c>
      <c r="B909" s="138">
        <f>'Expenditures 15-22'!F55</f>
        <v>11509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11509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189152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189152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12505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12505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267806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606701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4200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4000</v>
      </c>
      <c r="D965" s="2" t="str">
        <f t="shared" si="14"/>
        <v>Error?</v>
      </c>
    </row>
    <row r="966" spans="1:4" x14ac:dyDescent="0.2">
      <c r="A966" s="5">
        <v>905</v>
      </c>
      <c r="B966" s="138">
        <f>'Expenditures 15-22'!G53</f>
        <v>4000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8200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14843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364410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410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25820</v>
      </c>
      <c r="D1022" s="2" t="str">
        <f t="shared" si="14"/>
        <v>Error?</v>
      </c>
    </row>
    <row r="1023" spans="1:4" x14ac:dyDescent="0.2">
      <c r="A1023" s="5">
        <v>962</v>
      </c>
      <c r="B1023" s="138">
        <f>'Expenditures 15-22'!H50</f>
        <v>6218</v>
      </c>
      <c r="D1023" s="2" t="str">
        <f t="shared" ref="D1023:D1086" si="15">IF(ISBLANK(B1023),"OK",IF(A1023-B1023=0,"OK","Error?"))</f>
        <v>Error?</v>
      </c>
    </row>
    <row r="1024" spans="1:4" x14ac:dyDescent="0.2">
      <c r="A1024" s="5">
        <v>963</v>
      </c>
      <c r="B1024" s="138">
        <f>'Expenditures 15-22'!H53</f>
        <v>32038</v>
      </c>
      <c r="C1024" s="2" t="s">
        <v>573</v>
      </c>
      <c r="D1024" s="2" t="str">
        <f t="shared" si="15"/>
        <v>Error?</v>
      </c>
    </row>
    <row r="1025" spans="1:4" x14ac:dyDescent="0.2">
      <c r="A1025" s="5">
        <v>964</v>
      </c>
      <c r="B1025" s="138">
        <f>'Expenditures 15-22'!H55</f>
        <v>2986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2986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1046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1046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36480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147329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548219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3448334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500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201092</v>
      </c>
      <c r="C1105" s="2" t="s">
        <v>573</v>
      </c>
      <c r="D1105" s="2" t="str">
        <f t="shared" si="16"/>
        <v>Error?</v>
      </c>
    </row>
    <row r="1106" spans="1:4" x14ac:dyDescent="0.2">
      <c r="A1106" s="5">
        <v>1045</v>
      </c>
      <c r="B1106" s="138">
        <f>'Expenditures 15-22'!K14</f>
        <v>237227</v>
      </c>
      <c r="C1106" s="2" t="s">
        <v>573</v>
      </c>
      <c r="D1106" s="2" t="str">
        <f t="shared" si="16"/>
        <v>Error?</v>
      </c>
    </row>
    <row r="1107" spans="1:4" x14ac:dyDescent="0.2">
      <c r="A1107" s="5">
        <v>1046</v>
      </c>
      <c r="B1107" s="138">
        <f>'Expenditures 15-22'!K15</f>
        <v>9976</v>
      </c>
      <c r="C1107" s="2" t="s">
        <v>573</v>
      </c>
      <c r="D1107" s="2" t="str">
        <f t="shared" si="16"/>
        <v>Error?</v>
      </c>
    </row>
    <row r="1108" spans="1:4" x14ac:dyDescent="0.2">
      <c r="A1108" s="5">
        <v>1047</v>
      </c>
      <c r="B1108" s="138">
        <f>'Expenditures 15-22'!K33</f>
        <v>5870888</v>
      </c>
      <c r="C1108" s="2" t="s">
        <v>573</v>
      </c>
      <c r="D1108" s="2" t="str">
        <f t="shared" si="16"/>
        <v>Error?</v>
      </c>
    </row>
    <row r="1109" spans="1:4" x14ac:dyDescent="0.2">
      <c r="A1109" s="5">
        <v>1048</v>
      </c>
      <c r="B1109" s="138">
        <f>'Expenditures 15-22'!K36</f>
        <v>150175</v>
      </c>
      <c r="C1109" s="2" t="s">
        <v>573</v>
      </c>
      <c r="D1109" s="2" t="str">
        <f t="shared" si="16"/>
        <v>Error?</v>
      </c>
    </row>
    <row r="1110" spans="1:4" x14ac:dyDescent="0.2">
      <c r="A1110" s="5">
        <v>1049</v>
      </c>
      <c r="B1110" s="138">
        <f>'Expenditures 15-22'!K37</f>
        <v>57216</v>
      </c>
      <c r="C1110" s="2" t="s">
        <v>573</v>
      </c>
      <c r="D1110" s="2" t="str">
        <f t="shared" si="16"/>
        <v>Error?</v>
      </c>
    </row>
    <row r="1111" spans="1:4" x14ac:dyDescent="0.2">
      <c r="A1111" s="5">
        <v>1050</v>
      </c>
      <c r="B1111" s="138">
        <f>'Expenditures 15-22'!K38</f>
        <v>51925</v>
      </c>
      <c r="C1111" s="2" t="s">
        <v>573</v>
      </c>
      <c r="D1111" s="2" t="str">
        <f t="shared" si="16"/>
        <v>Error?</v>
      </c>
    </row>
    <row r="1112" spans="1:4" x14ac:dyDescent="0.2">
      <c r="A1112" s="5">
        <v>1051</v>
      </c>
      <c r="B1112" s="138">
        <f>'Expenditures 15-22'!K39</f>
        <v>33730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9419</v>
      </c>
      <c r="C1114" s="2" t="s">
        <v>573</v>
      </c>
      <c r="D1114" s="2" t="str">
        <f t="shared" si="16"/>
        <v>Error?</v>
      </c>
    </row>
    <row r="1115" spans="1:4" x14ac:dyDescent="0.2">
      <c r="A1115" s="5">
        <v>1054</v>
      </c>
      <c r="B1115" s="138">
        <f>'Expenditures 15-22'!K42</f>
        <v>302465</v>
      </c>
      <c r="C1115" s="2" t="s">
        <v>573</v>
      </c>
      <c r="D1115" s="2" t="str">
        <f t="shared" si="16"/>
        <v>Error?</v>
      </c>
    </row>
    <row r="1116" spans="1:4" x14ac:dyDescent="0.2">
      <c r="A1116" s="5">
        <v>1055</v>
      </c>
      <c r="B1116" s="138">
        <f>'Expenditures 15-22'!K44</f>
        <v>102460</v>
      </c>
      <c r="C1116" s="2" t="s">
        <v>573</v>
      </c>
      <c r="D1116" s="2" t="str">
        <f t="shared" si="16"/>
        <v>Error?</v>
      </c>
    </row>
    <row r="1117" spans="1:4" x14ac:dyDescent="0.2">
      <c r="A1117" s="5">
        <v>1056</v>
      </c>
      <c r="B1117" s="138">
        <f>'Expenditures 15-22'!K45</f>
        <v>260110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362570</v>
      </c>
      <c r="C1119" s="2" t="s">
        <v>573</v>
      </c>
      <c r="D1119" s="2" t="str">
        <f t="shared" si="16"/>
        <v>Error?</v>
      </c>
    </row>
    <row r="1120" spans="1:4" x14ac:dyDescent="0.2">
      <c r="A1120" s="5">
        <v>1059</v>
      </c>
      <c r="B1120" s="138">
        <f>'Expenditures 15-22'!K49</f>
        <v>106785</v>
      </c>
      <c r="C1120" s="2" t="s">
        <v>573</v>
      </c>
      <c r="D1120" s="2" t="str">
        <f t="shared" si="16"/>
        <v>Error?</v>
      </c>
    </row>
    <row r="1121" spans="1:4" x14ac:dyDescent="0.2">
      <c r="A1121" s="5">
        <v>1060</v>
      </c>
      <c r="B1121" s="138">
        <f>'Expenditures 15-22'!K50</f>
        <v>164434</v>
      </c>
      <c r="C1121" s="2" t="s">
        <v>573</v>
      </c>
      <c r="D1121" s="2" t="str">
        <f t="shared" si="16"/>
        <v>Error?</v>
      </c>
    </row>
    <row r="1122" spans="1:4" x14ac:dyDescent="0.2">
      <c r="A1122" s="5">
        <v>1061</v>
      </c>
      <c r="B1122" s="138">
        <f>'Expenditures 15-22'!K53</f>
        <v>271219</v>
      </c>
      <c r="C1122" s="2" t="s">
        <v>573</v>
      </c>
      <c r="D1122" s="2" t="str">
        <f t="shared" si="16"/>
        <v>Error?</v>
      </c>
    </row>
    <row r="1123" spans="1:4" x14ac:dyDescent="0.2">
      <c r="A1123" s="5">
        <v>1062</v>
      </c>
      <c r="B1123" s="138">
        <f>'Expenditures 15-22'!K55</f>
        <v>695803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695803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117263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391982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509245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15422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15422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2156724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243565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8271177</v>
      </c>
      <c r="C1152" s="2" t="s">
        <v>573</v>
      </c>
      <c r="D1152" s="2" t="str">
        <f t="shared" si="17"/>
        <v>Error?</v>
      </c>
    </row>
    <row r="1153" spans="1:4" x14ac:dyDescent="0.2">
      <c r="A1153" s="5">
        <v>1092</v>
      </c>
      <c r="B1153" s="138">
        <f>'Expenditures 15-22'!K115</f>
        <v>352102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314281</v>
      </c>
      <c r="D1221" s="2" t="str">
        <f t="shared" si="18"/>
        <v>Error?</v>
      </c>
    </row>
    <row r="1222" spans="1:4" x14ac:dyDescent="0.2">
      <c r="A1222" s="10">
        <v>1161</v>
      </c>
      <c r="D1222" s="2" t="str">
        <f t="shared" si="18"/>
        <v>OK</v>
      </c>
    </row>
    <row r="1223" spans="1:4" x14ac:dyDescent="0.2">
      <c r="A1223" s="5">
        <v>1162</v>
      </c>
      <c r="B1223" s="138">
        <f>'Expenditures 15-22'!C127</f>
        <v>314281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314281</v>
      </c>
      <c r="C1225" s="2" t="s">
        <v>573</v>
      </c>
      <c r="D1225" s="2" t="str">
        <f t="shared" si="18"/>
        <v>Error?</v>
      </c>
    </row>
    <row r="1226" spans="1:4" x14ac:dyDescent="0.2">
      <c r="A1226" s="5">
        <v>1165</v>
      </c>
      <c r="B1226" s="138">
        <f>'Expenditures 15-22'!C151</f>
        <v>314281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43503</v>
      </c>
      <c r="D1229" s="2" t="str">
        <f t="shared" si="18"/>
        <v>Error?</v>
      </c>
    </row>
    <row r="1230" spans="1:4" x14ac:dyDescent="0.2">
      <c r="A1230" s="10">
        <v>1169</v>
      </c>
      <c r="D1230" s="2" t="str">
        <f t="shared" si="18"/>
        <v>OK</v>
      </c>
    </row>
    <row r="1231" spans="1:4" x14ac:dyDescent="0.2">
      <c r="A1231" s="5">
        <v>1170</v>
      </c>
      <c r="B1231" s="138">
        <f>'Expenditures 15-22'!D127</f>
        <v>43503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43503</v>
      </c>
      <c r="C1233" s="2" t="s">
        <v>573</v>
      </c>
      <c r="D1233" s="2" t="str">
        <f t="shared" si="18"/>
        <v>Error?</v>
      </c>
    </row>
    <row r="1234" spans="1:4" x14ac:dyDescent="0.2">
      <c r="A1234" s="5">
        <v>1173</v>
      </c>
      <c r="B1234" s="138">
        <f>'Expenditures 15-22'!D151</f>
        <v>43503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276496</v>
      </c>
      <c r="D1237" s="2" t="str">
        <f t="shared" si="18"/>
        <v>Error?</v>
      </c>
    </row>
    <row r="1238" spans="1:4" x14ac:dyDescent="0.2">
      <c r="A1238" s="10">
        <v>1177</v>
      </c>
      <c r="D1238" s="2" t="str">
        <f t="shared" si="18"/>
        <v>OK</v>
      </c>
    </row>
    <row r="1239" spans="1:4" x14ac:dyDescent="0.2">
      <c r="A1239" s="5">
        <v>1178</v>
      </c>
      <c r="B1239" s="138">
        <f>'Expenditures 15-22'!E127</f>
        <v>276496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276496</v>
      </c>
      <c r="C1241" s="2" t="s">
        <v>573</v>
      </c>
      <c r="D1241" s="2" t="str">
        <f t="shared" si="18"/>
        <v>Error?</v>
      </c>
    </row>
    <row r="1242" spans="1:4" x14ac:dyDescent="0.2">
      <c r="A1242" s="5">
        <v>1181</v>
      </c>
      <c r="B1242" s="138">
        <f>'Expenditures 15-22'!E151</f>
        <v>276496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318589</v>
      </c>
      <c r="D1245" s="2" t="str">
        <f t="shared" si="18"/>
        <v>Error?</v>
      </c>
    </row>
    <row r="1246" spans="1:4" x14ac:dyDescent="0.2">
      <c r="A1246" s="10">
        <v>1185</v>
      </c>
      <c r="D1246" s="2" t="str">
        <f t="shared" si="18"/>
        <v>OK</v>
      </c>
    </row>
    <row r="1247" spans="1:4" x14ac:dyDescent="0.2">
      <c r="A1247" s="5">
        <v>1186</v>
      </c>
      <c r="B1247" s="138">
        <f>'Expenditures 15-22'!F127</f>
        <v>318589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318589</v>
      </c>
      <c r="C1249" s="2" t="s">
        <v>573</v>
      </c>
      <c r="D1249" s="2" t="str">
        <f t="shared" si="18"/>
        <v>Error?</v>
      </c>
    </row>
    <row r="1250" spans="1:4" x14ac:dyDescent="0.2">
      <c r="A1250" s="5">
        <v>1189</v>
      </c>
      <c r="B1250" s="138">
        <f>'Expenditures 15-22'!F151</f>
        <v>318589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100563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100563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100563</v>
      </c>
      <c r="C1258" s="2" t="s">
        <v>573</v>
      </c>
      <c r="D1258" s="2" t="str">
        <f t="shared" si="18"/>
        <v>Error?</v>
      </c>
    </row>
    <row r="1259" spans="1:4" x14ac:dyDescent="0.2">
      <c r="A1259" s="5">
        <v>1198</v>
      </c>
      <c r="B1259" s="138">
        <f>'Expenditures 15-22'!G151</f>
        <v>100563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44</v>
      </c>
      <c r="D1262" s="2" t="str">
        <f t="shared" si="18"/>
        <v>Error?</v>
      </c>
    </row>
    <row r="1263" spans="1:4" x14ac:dyDescent="0.2">
      <c r="A1263" s="10">
        <v>1202</v>
      </c>
      <c r="D1263" s="2" t="str">
        <f t="shared" si="18"/>
        <v>OK</v>
      </c>
    </row>
    <row r="1264" spans="1:4" x14ac:dyDescent="0.2">
      <c r="A1264" s="5">
        <v>1203</v>
      </c>
      <c r="B1264" s="138">
        <f>'Expenditures 15-22'!H127</f>
        <v>44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1053476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1053476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1053476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1053476</v>
      </c>
      <c r="C1288" s="2" t="s">
        <v>573</v>
      </c>
      <c r="D1288" s="2" t="str">
        <f t="shared" si="19"/>
        <v>Error?</v>
      </c>
    </row>
    <row r="1289" spans="1:4" x14ac:dyDescent="0.2">
      <c r="A1289" s="5">
        <v>1228</v>
      </c>
      <c r="B1289" s="138">
        <f>'Expenditures 15-22'!K152</f>
        <v>-2961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12575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113075</v>
      </c>
      <c r="C1317" s="2" t="s">
        <v>573</v>
      </c>
      <c r="D1317" s="2" t="str">
        <f t="shared" si="19"/>
        <v>Error?</v>
      </c>
    </row>
    <row r="1318" spans="1:4" x14ac:dyDescent="0.2">
      <c r="A1318" s="5">
        <v>1257</v>
      </c>
      <c r="B1318" s="138">
        <f>'Expenditures 15-22'!H174</f>
        <v>113075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12575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113075</v>
      </c>
      <c r="C1331" s="2" t="s">
        <v>573</v>
      </c>
      <c r="D1331" s="2" t="str">
        <f t="shared" si="19"/>
        <v>Error?</v>
      </c>
    </row>
    <row r="1332" spans="1:4" x14ac:dyDescent="0.2">
      <c r="A1332" s="5">
        <v>1271</v>
      </c>
      <c r="B1332" s="138">
        <f>'Expenditures 15-22'!K174</f>
        <v>113075</v>
      </c>
      <c r="C1332" s="2" t="s">
        <v>573</v>
      </c>
      <c r="D1332" s="2" t="str">
        <f t="shared" si="19"/>
        <v>Error?</v>
      </c>
    </row>
    <row r="1333" spans="1:4" x14ac:dyDescent="0.2">
      <c r="A1333" s="5">
        <v>1272</v>
      </c>
      <c r="B1333" s="138">
        <f>'Expenditures 15-22'!K175</f>
        <v>-106795</v>
      </c>
      <c r="C1333" s="2" t="s">
        <v>573</v>
      </c>
      <c r="D1333" s="2" t="str">
        <f t="shared" si="19"/>
        <v>Error?</v>
      </c>
    </row>
    <row r="1334" spans="1:4" x14ac:dyDescent="0.2">
      <c r="A1334" s="10">
        <v>1273</v>
      </c>
      <c r="D1334" s="2" t="str">
        <f t="shared" si="19"/>
        <v>OK</v>
      </c>
    </row>
    <row r="1335" spans="1:4" x14ac:dyDescent="0.2">
      <c r="A1335" s="5">
        <v>1274</v>
      </c>
      <c r="B1335" s="138">
        <f>'Expenditures 15-22'!C182</f>
        <v>40845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40845</v>
      </c>
      <c r="C1339" s="2" t="s">
        <v>573</v>
      </c>
      <c r="D1339" s="2" t="str">
        <f t="shared" si="19"/>
        <v>Error?</v>
      </c>
    </row>
    <row r="1340" spans="1:4" x14ac:dyDescent="0.2">
      <c r="A1340" s="5">
        <v>1279</v>
      </c>
      <c r="B1340" s="138">
        <f>'Expenditures 15-22'!C210</f>
        <v>40845</v>
      </c>
      <c r="C1340" s="2" t="s">
        <v>573</v>
      </c>
      <c r="D1340" s="2" t="str">
        <f t="shared" si="19"/>
        <v>Error?</v>
      </c>
    </row>
    <row r="1341" spans="1:4" x14ac:dyDescent="0.2">
      <c r="A1341" s="5">
        <v>1280</v>
      </c>
      <c r="B1341" s="138">
        <f>'Expenditures 15-22'!D182</f>
        <v>2919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2919</v>
      </c>
      <c r="C1345" s="2" t="s">
        <v>573</v>
      </c>
      <c r="D1345" s="2" t="str">
        <f t="shared" si="20"/>
        <v>Error?</v>
      </c>
    </row>
    <row r="1346" spans="1:4" x14ac:dyDescent="0.2">
      <c r="A1346" s="5">
        <v>1285</v>
      </c>
      <c r="B1346" s="138">
        <f>'Expenditures 15-22'!D210</f>
        <v>2919</v>
      </c>
      <c r="C1346" s="2" t="s">
        <v>573</v>
      </c>
      <c r="D1346" s="2" t="str">
        <f t="shared" si="20"/>
        <v>Error?</v>
      </c>
    </row>
    <row r="1347" spans="1:4" x14ac:dyDescent="0.2">
      <c r="A1347" s="5">
        <v>1286</v>
      </c>
      <c r="B1347" s="138">
        <f>'Expenditures 15-22'!E182</f>
        <v>948491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948491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948491</v>
      </c>
      <c r="C1353" s="2" t="s">
        <v>573</v>
      </c>
      <c r="D1353" s="2" t="str">
        <f t="shared" si="20"/>
        <v>Error?</v>
      </c>
    </row>
    <row r="1354" spans="1:4" x14ac:dyDescent="0.2">
      <c r="A1354" s="5">
        <v>1293</v>
      </c>
      <c r="B1354" s="138">
        <f>'Expenditures 15-22'!F182</f>
        <v>7353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7353</v>
      </c>
      <c r="C1358" s="2" t="s">
        <v>573</v>
      </c>
      <c r="D1358" s="2" t="str">
        <f t="shared" si="20"/>
        <v>Error?</v>
      </c>
    </row>
    <row r="1359" spans="1:4" x14ac:dyDescent="0.2">
      <c r="A1359" s="5">
        <v>1298</v>
      </c>
      <c r="B1359" s="138">
        <f>'Expenditures 15-22'!F210</f>
        <v>7353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999608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999608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999608</v>
      </c>
      <c r="C1388" s="2" t="s">
        <v>573</v>
      </c>
      <c r="D1388" s="2" t="str">
        <f t="shared" si="20"/>
        <v>Error?</v>
      </c>
    </row>
    <row r="1389" spans="1:4" x14ac:dyDescent="0.2">
      <c r="A1389" s="5">
        <v>1328</v>
      </c>
      <c r="B1389" s="138">
        <f>'Expenditures 15-22'!K211</f>
        <v>-194591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2145</v>
      </c>
      <c r="D1407" s="2" t="str">
        <f t="shared" ref="D1407:D1470" si="21">IF(ISBLANK(B1407),"OK",IF(A1407-B1407=0,"OK","Error?"))</f>
        <v>Error?</v>
      </c>
    </row>
    <row r="1408" spans="1:4" x14ac:dyDescent="0.2">
      <c r="A1408" s="5">
        <v>1347</v>
      </c>
      <c r="B1408" s="138">
        <f>'Expenditures 15-22'!D223</f>
        <v>4707</v>
      </c>
      <c r="D1408" s="2" t="str">
        <f t="shared" si="21"/>
        <v>Error?</v>
      </c>
    </row>
    <row r="1409" spans="1:4" x14ac:dyDescent="0.2">
      <c r="A1409" s="5">
        <v>1348</v>
      </c>
      <c r="B1409" s="138">
        <f>'Expenditures 15-22'!D224</f>
        <v>38</v>
      </c>
      <c r="D1409" s="2" t="str">
        <f t="shared" si="21"/>
        <v>Error?</v>
      </c>
    </row>
    <row r="1410" spans="1:4" x14ac:dyDescent="0.2">
      <c r="A1410" s="5">
        <v>1349</v>
      </c>
      <c r="B1410" s="138">
        <f>'Expenditures 15-22'!D229</f>
        <v>131741</v>
      </c>
      <c r="C1410" s="2" t="s">
        <v>573</v>
      </c>
      <c r="D1410" s="2" t="str">
        <f t="shared" si="21"/>
        <v>Error?</v>
      </c>
    </row>
    <row r="1411" spans="1:4" x14ac:dyDescent="0.2">
      <c r="A1411" s="5">
        <v>1350</v>
      </c>
      <c r="B1411" s="138">
        <f>'Expenditures 15-22'!D232</f>
        <v>4172</v>
      </c>
      <c r="D1411" s="2" t="str">
        <f t="shared" si="21"/>
        <v>Error?</v>
      </c>
    </row>
    <row r="1412" spans="1:4" x14ac:dyDescent="0.2">
      <c r="A1412" s="5">
        <v>1351</v>
      </c>
      <c r="B1412" s="138">
        <f>'Expenditures 15-22'!D233</f>
        <v>622</v>
      </c>
      <c r="D1412" s="2" t="str">
        <f t="shared" si="21"/>
        <v>Error?</v>
      </c>
    </row>
    <row r="1413" spans="1:4" x14ac:dyDescent="0.2">
      <c r="A1413" s="5">
        <v>1352</v>
      </c>
      <c r="B1413" s="138">
        <f>'Expenditures 15-22'!D234</f>
        <v>7973</v>
      </c>
      <c r="D1413" s="2" t="str">
        <f t="shared" si="21"/>
        <v>Error?</v>
      </c>
    </row>
    <row r="1414" spans="1:4" x14ac:dyDescent="0.2">
      <c r="A1414" s="5">
        <v>1353</v>
      </c>
      <c r="B1414" s="138">
        <f>'Expenditures 15-22'!D235</f>
        <v>2877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15644</v>
      </c>
      <c r="C1417" s="2" t="s">
        <v>573</v>
      </c>
      <c r="D1417" s="2" t="str">
        <f t="shared" si="21"/>
        <v>Error?</v>
      </c>
    </row>
    <row r="1418" spans="1:4" x14ac:dyDescent="0.2">
      <c r="A1418" s="5">
        <v>1357</v>
      </c>
      <c r="B1418" s="138">
        <f>'Expenditures 15-22'!D240</f>
        <v>611</v>
      </c>
      <c r="D1418" s="2" t="str">
        <f t="shared" si="21"/>
        <v>Error?</v>
      </c>
    </row>
    <row r="1419" spans="1:4" x14ac:dyDescent="0.2">
      <c r="A1419" s="5">
        <v>1358</v>
      </c>
      <c r="B1419" s="138">
        <f>'Expenditures 15-22'!D241</f>
        <v>29085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29696</v>
      </c>
      <c r="C1421" s="2" t="s">
        <v>573</v>
      </c>
      <c r="D1421" s="2" t="str">
        <f t="shared" si="21"/>
        <v>Error?</v>
      </c>
    </row>
    <row r="1422" spans="1:4" x14ac:dyDescent="0.2">
      <c r="A1422" s="5">
        <v>1361</v>
      </c>
      <c r="B1422" s="138">
        <f>'Expenditures 15-22'!D245</f>
        <v>634</v>
      </c>
      <c r="D1422" s="2" t="str">
        <f t="shared" si="21"/>
        <v>Error?</v>
      </c>
    </row>
    <row r="1423" spans="1:4" x14ac:dyDescent="0.2">
      <c r="A1423" s="5">
        <v>1362</v>
      </c>
      <c r="B1423" s="138">
        <f>'Expenditures 15-22'!D246</f>
        <v>1448</v>
      </c>
      <c r="D1423" s="2" t="str">
        <f t="shared" si="21"/>
        <v>Error?</v>
      </c>
    </row>
    <row r="1424" spans="1:4" x14ac:dyDescent="0.2">
      <c r="A1424" s="5">
        <v>1363</v>
      </c>
      <c r="B1424" s="138">
        <f>'Expenditures 15-22'!D257</f>
        <v>13835</v>
      </c>
      <c r="C1424" s="2" t="s">
        <v>573</v>
      </c>
      <c r="D1424" s="2" t="str">
        <f t="shared" si="21"/>
        <v>Error?</v>
      </c>
    </row>
    <row r="1425" spans="1:4" x14ac:dyDescent="0.2">
      <c r="A1425" s="5">
        <v>1364</v>
      </c>
      <c r="B1425" s="138">
        <f>'Expenditures 15-22'!D259</f>
        <v>28495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28495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21297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56478</v>
      </c>
      <c r="D1431" s="2" t="str">
        <f t="shared" si="21"/>
        <v>Error?</v>
      </c>
    </row>
    <row r="1432" spans="1:4" x14ac:dyDescent="0.2">
      <c r="A1432" s="5">
        <v>1371</v>
      </c>
      <c r="B1432" s="138">
        <f>'Expenditures 15-22'!D267</f>
        <v>5536</v>
      </c>
      <c r="D1432" s="2" t="str">
        <f t="shared" si="21"/>
        <v>Error?</v>
      </c>
    </row>
    <row r="1433" spans="1:4" x14ac:dyDescent="0.2">
      <c r="A1433" s="5">
        <v>1372</v>
      </c>
      <c r="B1433" s="138">
        <f>'Expenditures 15-22'!D268</f>
        <v>31515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114826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202496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334237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2145</v>
      </c>
      <c r="C1471" s="2" t="s">
        <v>573</v>
      </c>
      <c r="D1471" s="2" t="str">
        <f t="shared" ref="D1471:D1534" si="22">IF(ISBLANK(B1471),"OK",IF(A1471-B1471=0,"OK","Error?"))</f>
        <v>Error?</v>
      </c>
    </row>
    <row r="1472" spans="1:4" x14ac:dyDescent="0.2">
      <c r="A1472" s="5">
        <v>1411</v>
      </c>
      <c r="B1472" s="138">
        <f>'Expenditures 15-22'!K223</f>
        <v>4707</v>
      </c>
      <c r="C1472" s="2" t="s">
        <v>573</v>
      </c>
      <c r="D1472" s="2" t="str">
        <f t="shared" si="22"/>
        <v>Error?</v>
      </c>
    </row>
    <row r="1473" spans="1:4" x14ac:dyDescent="0.2">
      <c r="A1473" s="5">
        <v>1412</v>
      </c>
      <c r="B1473" s="138">
        <f>'Expenditures 15-22'!K224</f>
        <v>38</v>
      </c>
      <c r="C1473" s="2" t="s">
        <v>573</v>
      </c>
      <c r="D1473" s="2" t="str">
        <f t="shared" si="22"/>
        <v>Error?</v>
      </c>
    </row>
    <row r="1474" spans="1:4" x14ac:dyDescent="0.2">
      <c r="A1474" s="5">
        <v>1413</v>
      </c>
      <c r="B1474" s="138">
        <f>'Expenditures 15-22'!K229</f>
        <v>131741</v>
      </c>
      <c r="C1474" s="2" t="s">
        <v>573</v>
      </c>
      <c r="D1474" s="2" t="str">
        <f t="shared" si="22"/>
        <v>Error?</v>
      </c>
    </row>
    <row r="1475" spans="1:4" x14ac:dyDescent="0.2">
      <c r="A1475" s="5">
        <v>1414</v>
      </c>
      <c r="B1475" s="138">
        <f>'Expenditures 15-22'!K232</f>
        <v>4172</v>
      </c>
      <c r="C1475" s="2" t="s">
        <v>573</v>
      </c>
      <c r="D1475" s="2" t="str">
        <f t="shared" si="22"/>
        <v>Error?</v>
      </c>
    </row>
    <row r="1476" spans="1:4" x14ac:dyDescent="0.2">
      <c r="A1476" s="5">
        <v>1415</v>
      </c>
      <c r="B1476" s="138">
        <f>'Expenditures 15-22'!K233</f>
        <v>622</v>
      </c>
      <c r="C1476" s="2" t="s">
        <v>573</v>
      </c>
      <c r="D1476" s="2" t="str">
        <f t="shared" si="22"/>
        <v>Error?</v>
      </c>
    </row>
    <row r="1477" spans="1:4" x14ac:dyDescent="0.2">
      <c r="A1477" s="5">
        <v>1416</v>
      </c>
      <c r="B1477" s="138">
        <f>'Expenditures 15-22'!K234</f>
        <v>7973</v>
      </c>
      <c r="C1477" s="2" t="s">
        <v>573</v>
      </c>
      <c r="D1477" s="2" t="str">
        <f t="shared" si="22"/>
        <v>Error?</v>
      </c>
    </row>
    <row r="1478" spans="1:4" x14ac:dyDescent="0.2">
      <c r="A1478" s="5">
        <v>1417</v>
      </c>
      <c r="B1478" s="138">
        <f>'Expenditures 15-22'!K235</f>
        <v>2877</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15644</v>
      </c>
      <c r="C1481" s="2" t="s">
        <v>573</v>
      </c>
      <c r="D1481" s="2" t="str">
        <f t="shared" si="22"/>
        <v>Error?</v>
      </c>
    </row>
    <row r="1482" spans="1:4" x14ac:dyDescent="0.2">
      <c r="A1482" s="5">
        <v>1421</v>
      </c>
      <c r="B1482" s="138">
        <f>'Expenditures 15-22'!K240</f>
        <v>611</v>
      </c>
      <c r="C1482" s="2" t="s">
        <v>573</v>
      </c>
      <c r="D1482" s="2" t="str">
        <f t="shared" si="22"/>
        <v>Error?</v>
      </c>
    </row>
    <row r="1483" spans="1:4" x14ac:dyDescent="0.2">
      <c r="A1483" s="5">
        <v>1422</v>
      </c>
      <c r="B1483" s="138">
        <f>'Expenditures 15-22'!K241</f>
        <v>29085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29696</v>
      </c>
      <c r="C1485" s="2" t="s">
        <v>573</v>
      </c>
      <c r="D1485" s="2" t="str">
        <f t="shared" si="22"/>
        <v>Error?</v>
      </c>
    </row>
    <row r="1486" spans="1:4" x14ac:dyDescent="0.2">
      <c r="A1486" s="5">
        <v>1425</v>
      </c>
      <c r="B1486" s="138">
        <f>'Expenditures 15-22'!K245</f>
        <v>634</v>
      </c>
      <c r="C1486" s="2" t="s">
        <v>573</v>
      </c>
      <c r="D1486" s="2" t="str">
        <f t="shared" si="22"/>
        <v>Error?</v>
      </c>
    </row>
    <row r="1487" spans="1:4" x14ac:dyDescent="0.2">
      <c r="A1487" s="5">
        <v>1426</v>
      </c>
      <c r="B1487" s="138">
        <f>'Expenditures 15-22'!K246</f>
        <v>1448</v>
      </c>
      <c r="C1487" s="2" t="s">
        <v>573</v>
      </c>
      <c r="D1487" s="2" t="str">
        <f t="shared" si="22"/>
        <v>Error?</v>
      </c>
    </row>
    <row r="1488" spans="1:4" x14ac:dyDescent="0.2">
      <c r="A1488" s="5">
        <v>1427</v>
      </c>
      <c r="B1488" s="138">
        <f>'Expenditures 15-22'!K257</f>
        <v>13835</v>
      </c>
      <c r="C1488" s="2" t="s">
        <v>573</v>
      </c>
      <c r="D1488" s="2" t="str">
        <f t="shared" si="22"/>
        <v>Error?</v>
      </c>
    </row>
    <row r="1489" spans="1:4" x14ac:dyDescent="0.2">
      <c r="A1489" s="5">
        <v>1428</v>
      </c>
      <c r="B1489" s="138">
        <f>'Expenditures 15-22'!K259</f>
        <v>28495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28495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21297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56478</v>
      </c>
      <c r="C1495" s="2" t="s">
        <v>573</v>
      </c>
      <c r="D1495" s="2" t="str">
        <f t="shared" si="22"/>
        <v>Error?</v>
      </c>
    </row>
    <row r="1496" spans="1:4" x14ac:dyDescent="0.2">
      <c r="A1496" s="5">
        <v>1435</v>
      </c>
      <c r="B1496" s="138">
        <f>'Expenditures 15-22'!K267</f>
        <v>5536</v>
      </c>
      <c r="C1496" s="2" t="s">
        <v>573</v>
      </c>
      <c r="D1496" s="2" t="str">
        <f t="shared" si="22"/>
        <v>Error?</v>
      </c>
    </row>
    <row r="1497" spans="1:4" x14ac:dyDescent="0.2">
      <c r="A1497" s="5">
        <v>1436</v>
      </c>
      <c r="B1497" s="138">
        <f>'Expenditures 15-22'!K268</f>
        <v>31515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114826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202496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334237</v>
      </c>
      <c r="C1517" s="2" t="s">
        <v>573</v>
      </c>
      <c r="D1517" s="2" t="str">
        <f t="shared" si="22"/>
        <v>Error?</v>
      </c>
    </row>
    <row r="1518" spans="1:4" x14ac:dyDescent="0.2">
      <c r="A1518" s="5">
        <v>1457</v>
      </c>
      <c r="B1518" s="138">
        <f>'Expenditures 15-22'!K296</f>
        <v>6909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3888710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4240812</v>
      </c>
      <c r="C1630" s="2" t="s">
        <v>573</v>
      </c>
      <c r="D1630" s="2" t="str">
        <f t="shared" si="24"/>
        <v>Error?</v>
      </c>
    </row>
    <row r="1631" spans="1:4" x14ac:dyDescent="0.2">
      <c r="A1631" s="5">
        <v>1570</v>
      </c>
      <c r="B1631" s="138">
        <f>'Acct Summary 7-8'!D79</f>
        <v>202881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199920</v>
      </c>
      <c r="C1644" s="2" t="s">
        <v>573</v>
      </c>
      <c r="D1644" s="2" t="str">
        <f t="shared" si="24"/>
        <v>Error?</v>
      </c>
    </row>
    <row r="1645" spans="1:4" x14ac:dyDescent="0.2">
      <c r="A1645" s="5">
        <v>1584</v>
      </c>
      <c r="B1645" s="138">
        <f>'Acct Summary 7-8'!E79</f>
        <v>227014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120219</v>
      </c>
      <c r="C1658" s="2" t="s">
        <v>573</v>
      </c>
      <c r="D1658" s="2" t="str">
        <f t="shared" si="24"/>
        <v>Error?</v>
      </c>
    </row>
    <row r="1659" spans="1:4" x14ac:dyDescent="0.2">
      <c r="A1659" s="5">
        <v>1598</v>
      </c>
      <c r="B1659" s="138">
        <f>'Acct Summary 7-8'!F79</f>
        <v>682852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488261</v>
      </c>
      <c r="C1672" s="2" t="s">
        <v>573</v>
      </c>
      <c r="D1672" s="2" t="str">
        <f t="shared" si="25"/>
        <v>Error?</v>
      </c>
    </row>
    <row r="1673" spans="1:4" x14ac:dyDescent="0.2">
      <c r="A1673" s="5">
        <v>1612</v>
      </c>
      <c r="B1673" s="138">
        <f>'Acct Summary 7-8'!G79</f>
        <v>404654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411563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3474522</v>
      </c>
      <c r="C1744" s="2" t="s">
        <v>573</v>
      </c>
      <c r="D1744" s="2" t="str">
        <f t="shared" si="26"/>
        <v>Error?</v>
      </c>
    </row>
    <row r="1745" spans="1:5" x14ac:dyDescent="0.2">
      <c r="A1745" s="5">
        <v>1684</v>
      </c>
      <c r="B1745" s="138">
        <f>'Tax Sched 23'!B5</f>
        <v>638699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255480</v>
      </c>
      <c r="C1747" s="2" t="s">
        <v>573</v>
      </c>
      <c r="D1747" s="2" t="str">
        <f t="shared" si="26"/>
        <v>Error?</v>
      </c>
    </row>
    <row r="1748" spans="1:5" x14ac:dyDescent="0.2">
      <c r="A1748" s="5">
        <v>1687</v>
      </c>
      <c r="B1748" s="138">
        <f>'Tax Sched 23'!B8</f>
        <v>90473</v>
      </c>
      <c r="C1748" s="2" t="s">
        <v>573</v>
      </c>
      <c r="D1748" s="2" t="str">
        <f t="shared" si="26"/>
        <v>Error?</v>
      </c>
    </row>
    <row r="1749" spans="1:5" x14ac:dyDescent="0.2">
      <c r="A1749" s="5">
        <v>1688</v>
      </c>
      <c r="B1749" s="138">
        <f>'Tax Sched 23'!B10</f>
        <v>63870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294962</v>
      </c>
      <c r="C1752" s="2" t="s">
        <v>573</v>
      </c>
      <c r="D1752" s="2" t="str">
        <f t="shared" si="26"/>
        <v>Error?</v>
      </c>
    </row>
    <row r="1753" spans="1:5" x14ac:dyDescent="0.2">
      <c r="A1753" s="5">
        <v>1692</v>
      </c>
      <c r="B1753" s="138">
        <f>'Tax Sched 23'!B12</f>
        <v>63870</v>
      </c>
      <c r="C1753" s="2" t="s">
        <v>573</v>
      </c>
      <c r="D1753" s="2" t="str">
        <f t="shared" si="26"/>
        <v>Error?</v>
      </c>
    </row>
    <row r="1754" spans="1:5" x14ac:dyDescent="0.2">
      <c r="A1754" s="5">
        <v>1693</v>
      </c>
      <c r="B1754" s="138">
        <f>'Tax Sched 23'!B14</f>
        <v>51096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5134481</v>
      </c>
      <c r="C1759" s="2" t="s">
        <v>573</v>
      </c>
      <c r="D1759" s="2" t="str">
        <f t="shared" si="26"/>
        <v>Error?</v>
      </c>
    </row>
    <row r="1760" spans="1:5" x14ac:dyDescent="0.2">
      <c r="A1760" s="5">
        <v>1699</v>
      </c>
      <c r="B1760" s="138">
        <f>'Tax Sched 23'!D4</f>
        <v>3474522</v>
      </c>
      <c r="C1760" s="2" t="s">
        <v>573</v>
      </c>
      <c r="D1760" s="2" t="str">
        <f t="shared" si="26"/>
        <v>Error?</v>
      </c>
    </row>
    <row r="1761" spans="1:5" x14ac:dyDescent="0.2">
      <c r="A1761" s="5">
        <v>1700</v>
      </c>
      <c r="B1761" s="138">
        <f>'Tax Sched 23'!D5</f>
        <v>638699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255480</v>
      </c>
      <c r="C1763" s="2" t="s">
        <v>573</v>
      </c>
      <c r="D1763" s="2" t="str">
        <f t="shared" si="26"/>
        <v>Error?</v>
      </c>
    </row>
    <row r="1764" spans="1:5" x14ac:dyDescent="0.2">
      <c r="A1764" s="5">
        <v>1703</v>
      </c>
      <c r="B1764" s="138">
        <f>'Tax Sched 23'!D8</f>
        <v>90473</v>
      </c>
      <c r="C1764" s="2" t="s">
        <v>573</v>
      </c>
      <c r="D1764" s="2" t="str">
        <f t="shared" si="26"/>
        <v>Error?</v>
      </c>
    </row>
    <row r="1765" spans="1:5" x14ac:dyDescent="0.2">
      <c r="A1765" s="5">
        <v>1704</v>
      </c>
      <c r="B1765" s="138">
        <f>'Tax Sched 23'!D10</f>
        <v>63870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294962</v>
      </c>
      <c r="C1768" s="2" t="s">
        <v>573</v>
      </c>
      <c r="D1768" s="2" t="str">
        <f t="shared" si="26"/>
        <v>Error?</v>
      </c>
    </row>
    <row r="1769" spans="1:5" x14ac:dyDescent="0.2">
      <c r="A1769" s="5">
        <v>1708</v>
      </c>
      <c r="B1769" s="138">
        <f>'Tax Sched 23'!D12</f>
        <v>63870</v>
      </c>
      <c r="C1769" s="2" t="s">
        <v>573</v>
      </c>
      <c r="D1769" s="2" t="str">
        <f t="shared" si="26"/>
        <v>Error?</v>
      </c>
    </row>
    <row r="1770" spans="1:5" x14ac:dyDescent="0.2">
      <c r="A1770" s="5">
        <v>1709</v>
      </c>
      <c r="B1770" s="138">
        <f>'Tax Sched 23'!D14</f>
        <v>51096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5134481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3659161</v>
      </c>
      <c r="C1792" s="2" t="s">
        <v>573</v>
      </c>
      <c r="D1792" s="2" t="str">
        <f t="shared" si="27"/>
        <v>Error?</v>
      </c>
    </row>
    <row r="1793" spans="1:4" x14ac:dyDescent="0.2">
      <c r="A1793" s="5">
        <v>1732</v>
      </c>
      <c r="B1793" s="138">
        <f>'Tax Sched 23'!F5</f>
        <v>672639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269056</v>
      </c>
      <c r="C1795" s="2" t="s">
        <v>573</v>
      </c>
      <c r="D1795" s="2" t="str">
        <f t="shared" si="27"/>
        <v>Error?</v>
      </c>
    </row>
    <row r="1796" spans="1:4" x14ac:dyDescent="0.2">
      <c r="A1796" s="5">
        <v>1735</v>
      </c>
      <c r="B1796" s="138">
        <f>'Tax Sched 23'!F8</f>
        <v>100008</v>
      </c>
      <c r="C1796" s="2" t="s">
        <v>573</v>
      </c>
      <c r="D1796" s="2" t="str">
        <f t="shared" si="27"/>
        <v>Error?</v>
      </c>
    </row>
    <row r="1797" spans="1:4" x14ac:dyDescent="0.2">
      <c r="A1797" s="5">
        <v>1736</v>
      </c>
      <c r="B1797" s="138">
        <f>'Tax Sched 23'!F10</f>
        <v>67264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525002</v>
      </c>
      <c r="C1800" s="2" t="s">
        <v>573</v>
      </c>
      <c r="D1800" s="2" t="str">
        <f t="shared" si="27"/>
        <v>Error?</v>
      </c>
    </row>
    <row r="1801" spans="1:4" x14ac:dyDescent="0.2">
      <c r="A1801" s="5">
        <v>1740</v>
      </c>
      <c r="B1801" s="138">
        <f>'Tax Sched 23'!F12</f>
        <v>67264</v>
      </c>
      <c r="C1801" s="2" t="s">
        <v>573</v>
      </c>
      <c r="D1801" s="2" t="str">
        <f t="shared" si="27"/>
        <v>Error?</v>
      </c>
    </row>
    <row r="1802" spans="1:4" x14ac:dyDescent="0.2">
      <c r="A1802" s="5">
        <v>1741</v>
      </c>
      <c r="B1802" s="138">
        <f>'Tax Sched 23'!F14</f>
        <v>53823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5621481</v>
      </c>
      <c r="C1807" s="2" t="s">
        <v>573</v>
      </c>
      <c r="D1807" s="2" t="str">
        <f t="shared" si="27"/>
        <v>Error?</v>
      </c>
    </row>
    <row r="1808" spans="1:4" x14ac:dyDescent="0.2">
      <c r="A1808" s="5">
        <v>1747</v>
      </c>
      <c r="B1808" s="138">
        <f>'Tax Sched 23'!E4</f>
        <v>3659161</v>
      </c>
      <c r="D1808" s="2" t="str">
        <f t="shared" si="27"/>
        <v>Error?</v>
      </c>
    </row>
    <row r="1809" spans="1:4" x14ac:dyDescent="0.2">
      <c r="A1809" s="5">
        <v>1748</v>
      </c>
      <c r="B1809" s="138">
        <f>'Tax Sched 23'!E5</f>
        <v>672639</v>
      </c>
      <c r="D1809" s="2" t="str">
        <f t="shared" si="27"/>
        <v>Error?</v>
      </c>
    </row>
    <row r="1810" spans="1:4" x14ac:dyDescent="0.2">
      <c r="A1810" s="5">
        <v>1749</v>
      </c>
      <c r="B1810" s="138">
        <f>'Tax Sched 23'!E6</f>
        <v>0</v>
      </c>
      <c r="D1810" s="2" t="str">
        <f t="shared" si="27"/>
        <v>Error?</v>
      </c>
    </row>
    <row r="1811" spans="1:4" x14ac:dyDescent="0.2">
      <c r="A1811" s="5">
        <v>1750</v>
      </c>
      <c r="B1811" s="138">
        <f>'Tax Sched 23'!E7</f>
        <v>269056</v>
      </c>
      <c r="D1811" s="2" t="str">
        <f t="shared" si="27"/>
        <v>Error?</v>
      </c>
    </row>
    <row r="1812" spans="1:4" x14ac:dyDescent="0.2">
      <c r="A1812" s="5">
        <v>1751</v>
      </c>
      <c r="B1812" s="138">
        <f>'Tax Sched 23'!E8</f>
        <v>100008</v>
      </c>
      <c r="D1812" s="2" t="str">
        <f t="shared" si="27"/>
        <v>Error?</v>
      </c>
    </row>
    <row r="1813" spans="1:4" x14ac:dyDescent="0.2">
      <c r="A1813" s="5">
        <v>1752</v>
      </c>
      <c r="B1813" s="138">
        <f>'Tax Sched 23'!E10</f>
        <v>67264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525002</v>
      </c>
      <c r="D1816" s="2" t="str">
        <f t="shared" si="27"/>
        <v>Error?</v>
      </c>
    </row>
    <row r="1817" spans="1:4" x14ac:dyDescent="0.2">
      <c r="A1817" s="5">
        <v>1756</v>
      </c>
      <c r="B1817" s="138">
        <f>'Tax Sched 23'!E12</f>
        <v>67264</v>
      </c>
      <c r="D1817" s="2" t="str">
        <f t="shared" si="27"/>
        <v>Error?</v>
      </c>
    </row>
    <row r="1818" spans="1:4" x14ac:dyDescent="0.2">
      <c r="A1818" s="5">
        <v>1757</v>
      </c>
      <c r="B1818" s="138">
        <f>'Tax Sched 23'!E14</f>
        <v>53823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5621481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51096</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51101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51101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241877</v>
      </c>
      <c r="D2008" s="2" t="str">
        <f t="shared" si="30"/>
        <v>Error?</v>
      </c>
    </row>
    <row r="2009" spans="1:4" x14ac:dyDescent="0.2">
      <c r="A2009" s="5">
        <v>1948</v>
      </c>
      <c r="B2009" s="138">
        <f>'Cap Outlay Deprec 26'!C8</f>
        <v>16945859</v>
      </c>
      <c r="D2009" s="2" t="str">
        <f t="shared" si="30"/>
        <v>Error?</v>
      </c>
    </row>
    <row r="2010" spans="1:4" x14ac:dyDescent="0.2">
      <c r="A2010" s="5">
        <v>1949</v>
      </c>
      <c r="B2010" s="138">
        <f>'Cap Outlay Deprec 26'!C10</f>
        <v>2751043</v>
      </c>
      <c r="D2010" s="2" t="str">
        <f t="shared" si="30"/>
        <v>Error?</v>
      </c>
    </row>
    <row r="2011" spans="1:4" x14ac:dyDescent="0.2">
      <c r="A2011" s="5">
        <v>1950</v>
      </c>
      <c r="B2011" s="138">
        <f>'Cap Outlay Deprec 26'!C12</f>
        <v>754732</v>
      </c>
      <c r="D2011" s="2" t="str">
        <f t="shared" si="30"/>
        <v>Error?</v>
      </c>
    </row>
    <row r="2012" spans="1:4" x14ac:dyDescent="0.2">
      <c r="A2012" s="5">
        <v>1951</v>
      </c>
      <c r="B2012" s="138">
        <f>'Cap Outlay Deprec 26'!C13</f>
        <v>34871</v>
      </c>
      <c r="D2012" s="2" t="str">
        <f t="shared" si="30"/>
        <v>Error?</v>
      </c>
    </row>
    <row r="2013" spans="1:4" x14ac:dyDescent="0.2">
      <c r="A2013" s="5">
        <v>1952</v>
      </c>
      <c r="B2013" s="138">
        <f>'Cap Outlay Deprec 26'!C16</f>
        <v>20728382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104008</v>
      </c>
      <c r="D2015" s="2" t="str">
        <f t="shared" si="30"/>
        <v>Error?</v>
      </c>
    </row>
    <row r="2016" spans="1:4" x14ac:dyDescent="0.2">
      <c r="A2016" s="5">
        <v>1955</v>
      </c>
      <c r="B2016" s="138">
        <f>'Cap Outlay Deprec 26'!D10</f>
        <v>31951</v>
      </c>
      <c r="D2016" s="2" t="str">
        <f t="shared" si="30"/>
        <v>Error?</v>
      </c>
    </row>
    <row r="2017" spans="1:4" x14ac:dyDescent="0.2">
      <c r="A2017" s="5">
        <v>1956</v>
      </c>
      <c r="B2017" s="138">
        <f>'Cap Outlay Deprec 26'!D12</f>
        <v>32323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168282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91062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91062</v>
      </c>
      <c r="C2025" s="2" t="s">
        <v>573</v>
      </c>
      <c r="D2025" s="2" t="str">
        <f t="shared" si="30"/>
        <v>Error?</v>
      </c>
    </row>
    <row r="2026" spans="1:4" x14ac:dyDescent="0.2">
      <c r="A2026" s="5">
        <v>1965</v>
      </c>
      <c r="B2026" s="138">
        <f>'Cap Outlay Deprec 26'!F5</f>
        <v>241877</v>
      </c>
      <c r="C2026" s="2" t="s">
        <v>573</v>
      </c>
      <c r="D2026" s="2" t="str">
        <f t="shared" si="30"/>
        <v>Error?</v>
      </c>
    </row>
    <row r="2027" spans="1:4" x14ac:dyDescent="0.2">
      <c r="A2027" s="5">
        <v>1966</v>
      </c>
      <c r="B2027" s="138">
        <f>'Cap Outlay Deprec 26'!F8</f>
        <v>17049867</v>
      </c>
      <c r="C2027" s="2" t="s">
        <v>573</v>
      </c>
      <c r="D2027" s="2" t="str">
        <f t="shared" si="30"/>
        <v>Error?</v>
      </c>
    </row>
    <row r="2028" spans="1:4" x14ac:dyDescent="0.2">
      <c r="A2028" s="5">
        <v>1967</v>
      </c>
      <c r="B2028" s="138">
        <f>'Cap Outlay Deprec 26'!F10</f>
        <v>2782994</v>
      </c>
      <c r="C2028" s="2" t="s">
        <v>573</v>
      </c>
      <c r="D2028" s="2" t="str">
        <f t="shared" si="30"/>
        <v>Error?</v>
      </c>
    </row>
    <row r="2029" spans="1:4" x14ac:dyDescent="0.2">
      <c r="A2029" s="5">
        <v>1968</v>
      </c>
      <c r="B2029" s="138">
        <f>'Cap Outlay Deprec 26'!F12</f>
        <v>695993</v>
      </c>
      <c r="C2029" s="2" t="s">
        <v>573</v>
      </c>
      <c r="D2029" s="2" t="str">
        <f t="shared" si="30"/>
        <v>Error?</v>
      </c>
    </row>
    <row r="2030" spans="1:4" x14ac:dyDescent="0.2">
      <c r="A2030" s="5">
        <v>1969</v>
      </c>
      <c r="B2030" s="138">
        <f>'Cap Outlay Deprec 26'!F13</f>
        <v>34871</v>
      </c>
      <c r="C2030" s="2" t="s">
        <v>573</v>
      </c>
      <c r="D2030" s="2" t="str">
        <f t="shared" si="30"/>
        <v>Error?</v>
      </c>
    </row>
    <row r="2031" spans="1:4" x14ac:dyDescent="0.2">
      <c r="A2031" s="5">
        <v>1970</v>
      </c>
      <c r="B2031" s="138">
        <f>'Cap Outlay Deprec 26'!F16</f>
        <v>20805602</v>
      </c>
      <c r="C2031" s="2" t="s">
        <v>573</v>
      </c>
      <c r="D2031" s="2" t="str">
        <f t="shared" si="30"/>
        <v>Error?</v>
      </c>
    </row>
    <row r="2032" spans="1:4" x14ac:dyDescent="0.2">
      <c r="A2032" s="10">
        <v>1971</v>
      </c>
      <c r="D2032" s="2" t="str">
        <f t="shared" si="30"/>
        <v>OK</v>
      </c>
    </row>
    <row r="2033" spans="1:4" x14ac:dyDescent="0.2">
      <c r="A2033" s="5">
        <v>1972</v>
      </c>
      <c r="B2033" s="138">
        <f>'Cap Outlay Deprec 26'!H8</f>
        <v>7223117</v>
      </c>
      <c r="D2033" s="2" t="str">
        <f t="shared" si="30"/>
        <v>Error?</v>
      </c>
    </row>
    <row r="2034" spans="1:4" x14ac:dyDescent="0.2">
      <c r="A2034" s="5">
        <v>1973</v>
      </c>
      <c r="B2034" s="138">
        <f>'Cap Outlay Deprec 26'!H10</f>
        <v>1264271</v>
      </c>
      <c r="D2034" s="2" t="str">
        <f t="shared" si="30"/>
        <v>Error?</v>
      </c>
    </row>
    <row r="2035" spans="1:4" x14ac:dyDescent="0.2">
      <c r="A2035" s="5">
        <v>1974</v>
      </c>
      <c r="B2035" s="138">
        <f>'Cap Outlay Deprec 26'!H12</f>
        <v>446533</v>
      </c>
      <c r="D2035" s="2" t="str">
        <f t="shared" si="30"/>
        <v>Error?</v>
      </c>
    </row>
    <row r="2036" spans="1:4" x14ac:dyDescent="0.2">
      <c r="A2036" s="5">
        <v>1975</v>
      </c>
      <c r="B2036" s="138">
        <f>'Cap Outlay Deprec 26'!H13</f>
        <v>20922</v>
      </c>
      <c r="D2036" s="2" t="str">
        <f t="shared" si="30"/>
        <v>Error?</v>
      </c>
    </row>
    <row r="2037" spans="1:4" x14ac:dyDescent="0.2">
      <c r="A2037" s="5">
        <v>1976</v>
      </c>
      <c r="B2037" s="138">
        <f>'Cap Outlay Deprec 26'!H16</f>
        <v>8954843</v>
      </c>
      <c r="C2037" s="2" t="s">
        <v>573</v>
      </c>
      <c r="D2037" s="2" t="str">
        <f t="shared" si="30"/>
        <v>Error?</v>
      </c>
    </row>
    <row r="2038" spans="1:4" x14ac:dyDescent="0.2">
      <c r="A2038" s="10">
        <v>1977</v>
      </c>
      <c r="D2038" s="2" t="str">
        <f t="shared" si="30"/>
        <v>OK</v>
      </c>
    </row>
    <row r="2039" spans="1:4" x14ac:dyDescent="0.2">
      <c r="A2039" s="5">
        <v>1978</v>
      </c>
      <c r="B2039" s="138">
        <f>'Cap Outlay Deprec 26'!I8</f>
        <v>325426</v>
      </c>
      <c r="D2039" s="2" t="str">
        <f t="shared" si="30"/>
        <v>Error?</v>
      </c>
    </row>
    <row r="2040" spans="1:4" x14ac:dyDescent="0.2">
      <c r="A2040" s="5">
        <v>1979</v>
      </c>
      <c r="B2040" s="138">
        <f>'Cap Outlay Deprec 26'!I10</f>
        <v>123259</v>
      </c>
      <c r="D2040" s="2" t="str">
        <f t="shared" si="30"/>
        <v>Error?</v>
      </c>
    </row>
    <row r="2041" spans="1:4" x14ac:dyDescent="0.2">
      <c r="A2041" s="5">
        <v>1980</v>
      </c>
      <c r="B2041" s="138">
        <f>'Cap Outlay Deprec 26'!I12</f>
        <v>69600</v>
      </c>
      <c r="D2041" s="2" t="str">
        <f t="shared" si="30"/>
        <v>Error?</v>
      </c>
    </row>
    <row r="2042" spans="1:4" x14ac:dyDescent="0.2">
      <c r="A2042" s="5">
        <v>1981</v>
      </c>
      <c r="B2042" s="138">
        <f>'Cap Outlay Deprec 26'!I13</f>
        <v>6974</v>
      </c>
      <c r="D2042" s="2" t="str">
        <f t="shared" si="30"/>
        <v>Error?</v>
      </c>
    </row>
    <row r="2043" spans="1:4" x14ac:dyDescent="0.2">
      <c r="A2043" s="5">
        <v>1982</v>
      </c>
      <c r="B2043" s="138">
        <f>'Cap Outlay Deprec 26'!I16</f>
        <v>525259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91062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91062</v>
      </c>
      <c r="C2049" s="2" t="s">
        <v>573</v>
      </c>
      <c r="D2049" s="2" t="str">
        <f t="shared" si="31"/>
        <v>Error?</v>
      </c>
    </row>
    <row r="2050" spans="1:4" x14ac:dyDescent="0.2">
      <c r="A2050" s="10">
        <v>1989</v>
      </c>
      <c r="D2050" s="2" t="str">
        <f t="shared" si="31"/>
        <v>OK</v>
      </c>
    </row>
    <row r="2051" spans="1:4" x14ac:dyDescent="0.2">
      <c r="A2051" s="5">
        <v>1990</v>
      </c>
      <c r="B2051" s="138">
        <f>'Cap Outlay Deprec 26'!K8</f>
        <v>7548543</v>
      </c>
      <c r="C2051" s="2" t="s">
        <v>573</v>
      </c>
      <c r="D2051" s="2" t="str">
        <f t="shared" si="31"/>
        <v>Error?</v>
      </c>
    </row>
    <row r="2052" spans="1:4" x14ac:dyDescent="0.2">
      <c r="A2052" s="5">
        <v>1991</v>
      </c>
      <c r="B2052" s="138">
        <f>'Cap Outlay Deprec 26'!K10</f>
        <v>1387530</v>
      </c>
      <c r="C2052" s="2" t="s">
        <v>573</v>
      </c>
      <c r="D2052" s="2" t="str">
        <f t="shared" si="31"/>
        <v>Error?</v>
      </c>
    </row>
    <row r="2053" spans="1:4" x14ac:dyDescent="0.2">
      <c r="A2053" s="5">
        <v>1992</v>
      </c>
      <c r="B2053" s="138">
        <f>'Cap Outlay Deprec 26'!K12</f>
        <v>425071</v>
      </c>
      <c r="C2053" s="2" t="s">
        <v>573</v>
      </c>
      <c r="D2053" s="2" t="str">
        <f t="shared" si="31"/>
        <v>Error?</v>
      </c>
    </row>
    <row r="2054" spans="1:4" x14ac:dyDescent="0.2">
      <c r="A2054" s="5">
        <v>1993</v>
      </c>
      <c r="B2054" s="138">
        <f>'Cap Outlay Deprec 26'!K13</f>
        <v>27896</v>
      </c>
      <c r="C2054" s="2" t="s">
        <v>573</v>
      </c>
      <c r="D2054" s="2" t="str">
        <f t="shared" si="31"/>
        <v>Error?</v>
      </c>
    </row>
    <row r="2055" spans="1:4" x14ac:dyDescent="0.2">
      <c r="A2055" s="5">
        <v>1994</v>
      </c>
      <c r="B2055" s="138">
        <f>'Cap Outlay Deprec 26'!K16</f>
        <v>9389040</v>
      </c>
      <c r="C2055" s="2" t="s">
        <v>573</v>
      </c>
      <c r="D2055" s="2" t="str">
        <f t="shared" si="31"/>
        <v>Error?</v>
      </c>
    </row>
    <row r="2056" spans="1:4" x14ac:dyDescent="0.2">
      <c r="A2056" s="5">
        <v>1995</v>
      </c>
      <c r="B2056" s="138">
        <f>'Cap Outlay Deprec 26'!L5</f>
        <v>241877</v>
      </c>
      <c r="C2056" s="2" t="s">
        <v>573</v>
      </c>
      <c r="D2056" s="2" t="str">
        <f t="shared" si="31"/>
        <v>Error?</v>
      </c>
    </row>
    <row r="2057" spans="1:4" x14ac:dyDescent="0.2">
      <c r="A2057" s="5">
        <v>1996</v>
      </c>
      <c r="B2057" s="138">
        <f>'Cap Outlay Deprec 26'!L8</f>
        <v>9501324</v>
      </c>
      <c r="C2057" s="2" t="s">
        <v>573</v>
      </c>
      <c r="D2057" s="2" t="str">
        <f t="shared" si="31"/>
        <v>Error?</v>
      </c>
    </row>
    <row r="2058" spans="1:4" x14ac:dyDescent="0.2">
      <c r="A2058" s="5">
        <v>1997</v>
      </c>
      <c r="B2058" s="138">
        <f>'Cap Outlay Deprec 26'!L10</f>
        <v>1395464</v>
      </c>
      <c r="C2058" s="2" t="s">
        <v>573</v>
      </c>
      <c r="D2058" s="2" t="str">
        <f t="shared" si="31"/>
        <v>Error?</v>
      </c>
    </row>
    <row r="2059" spans="1:4" x14ac:dyDescent="0.2">
      <c r="A2059" s="5">
        <v>1998</v>
      </c>
      <c r="B2059" s="138">
        <f>'Cap Outlay Deprec 26'!L12</f>
        <v>270922</v>
      </c>
      <c r="C2059" s="2" t="s">
        <v>573</v>
      </c>
      <c r="D2059" s="2" t="str">
        <f t="shared" si="31"/>
        <v>Error?</v>
      </c>
    </row>
    <row r="2060" spans="1:4" x14ac:dyDescent="0.2">
      <c r="A2060" s="5">
        <v>1999</v>
      </c>
      <c r="B2060" s="138">
        <f>'Cap Outlay Deprec 26'!L13</f>
        <v>6975</v>
      </c>
      <c r="C2060" s="2" t="s">
        <v>573</v>
      </c>
      <c r="D2060" s="2" t="str">
        <f t="shared" si="31"/>
        <v>Error?</v>
      </c>
    </row>
    <row r="2061" spans="1:4" x14ac:dyDescent="0.2">
      <c r="A2061" s="5">
        <v>2000</v>
      </c>
      <c r="B2061" s="138">
        <f>'Cap Outlay Deprec 26'!L16</f>
        <v>11416562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56258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152494</v>
      </c>
      <c r="C2088" s="2" t="s">
        <v>573</v>
      </c>
      <c r="D2088" s="2" t="str">
        <f t="shared" si="31"/>
        <v>Error?</v>
      </c>
    </row>
    <row r="2089" spans="1:4" x14ac:dyDescent="0.2">
      <c r="A2089" s="5">
        <v>2028</v>
      </c>
      <c r="B2089" s="138">
        <f>'Expenditures 15-22'!K92</f>
        <v>91071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125378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6706313</v>
      </c>
      <c r="C2551" s="2" t="s">
        <v>573</v>
      </c>
      <c r="D2551" s="2" t="str">
        <f t="shared" si="38"/>
        <v>Error?</v>
      </c>
    </row>
    <row r="2552" spans="1:4" x14ac:dyDescent="0.2">
      <c r="A2552" s="10">
        <v>2491</v>
      </c>
      <c r="D2552" s="2" t="str">
        <f t="shared" si="38"/>
        <v>OK</v>
      </c>
    </row>
    <row r="2553" spans="1:4" x14ac:dyDescent="0.2">
      <c r="A2553" s="5">
        <v>2492</v>
      </c>
      <c r="B2553" s="138">
        <f>'Acct Summary 7-8'!C6</f>
        <v>1350998</v>
      </c>
      <c r="C2553" s="2" t="s">
        <v>573</v>
      </c>
      <c r="D2553" s="2" t="str">
        <f t="shared" si="38"/>
        <v>Error?</v>
      </c>
    </row>
    <row r="2554" spans="1:4" x14ac:dyDescent="0.2">
      <c r="A2554" s="5">
        <v>2493</v>
      </c>
      <c r="B2554" s="138">
        <f>'Acct Summary 7-8'!C7</f>
        <v>565968</v>
      </c>
      <c r="C2554" s="2" t="s">
        <v>573</v>
      </c>
      <c r="D2554" s="2" t="str">
        <f t="shared" si="38"/>
        <v>Error?</v>
      </c>
    </row>
    <row r="2555" spans="1:4" x14ac:dyDescent="0.2">
      <c r="A2555" s="5">
        <v>2494</v>
      </c>
      <c r="B2555" s="138">
        <f>'Acct Summary 7-8'!C8</f>
        <v>8623279</v>
      </c>
      <c r="C2555" s="2" t="s">
        <v>573</v>
      </c>
      <c r="D2555" s="2" t="str">
        <f t="shared" si="38"/>
        <v>Error?</v>
      </c>
    </row>
    <row r="2556" spans="1:4" x14ac:dyDescent="0.2">
      <c r="A2556" s="5">
        <v>2495</v>
      </c>
      <c r="B2556" s="138">
        <f>'Acct Summary 7-8'!C12</f>
        <v>5870888</v>
      </c>
      <c r="C2556" s="2" t="s">
        <v>573</v>
      </c>
      <c r="D2556" s="2" t="str">
        <f t="shared" si="38"/>
        <v>Error?</v>
      </c>
    </row>
    <row r="2557" spans="1:4" x14ac:dyDescent="0.2">
      <c r="A2557" s="5">
        <v>2496</v>
      </c>
      <c r="B2557" s="138">
        <f>'Acct Summary 7-8'!C13</f>
        <v>2156724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243565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8271177</v>
      </c>
      <c r="C2561" s="2" t="s">
        <v>573</v>
      </c>
      <c r="D2561" s="2" t="str">
        <f t="shared" si="39"/>
        <v>Error?</v>
      </c>
    </row>
    <row r="2562" spans="1:4" x14ac:dyDescent="0.2">
      <c r="A2562" s="5">
        <v>2501</v>
      </c>
      <c r="B2562" s="138">
        <f>'Acct Summary 7-8'!C20</f>
        <v>352102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1050515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1050515</v>
      </c>
      <c r="C2568" s="2" t="s">
        <v>573</v>
      </c>
      <c r="D2568" s="2" t="str">
        <f t="shared" si="39"/>
        <v>Error?</v>
      </c>
    </row>
    <row r="2569" spans="1:4" x14ac:dyDescent="0.2">
      <c r="A2569" s="5">
        <v>2508</v>
      </c>
      <c r="B2569" s="138">
        <f>'Acct Summary 7-8'!D13</f>
        <v>1053476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1053476</v>
      </c>
      <c r="C2573" s="2" t="s">
        <v>573</v>
      </c>
      <c r="D2573" s="2" t="str">
        <f t="shared" si="39"/>
        <v>Error?</v>
      </c>
    </row>
    <row r="2574" spans="1:4" x14ac:dyDescent="0.2">
      <c r="A2574" s="5">
        <v>2513</v>
      </c>
      <c r="B2574" s="138">
        <f>'Acct Summary 7-8'!D20</f>
        <v>-2961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265754</v>
      </c>
      <c r="C2591" s="2" t="s">
        <v>573</v>
      </c>
      <c r="D2591" s="2" t="str">
        <f t="shared" si="39"/>
        <v>Error?</v>
      </c>
    </row>
    <row r="2592" spans="1:4" x14ac:dyDescent="0.2">
      <c r="A2592" s="10">
        <v>2531</v>
      </c>
      <c r="D2592" s="2" t="str">
        <f t="shared" si="39"/>
        <v>OK</v>
      </c>
    </row>
    <row r="2593" spans="1:4" x14ac:dyDescent="0.2">
      <c r="A2593" s="5">
        <v>2532</v>
      </c>
      <c r="B2593" s="138">
        <f>'Acct Summary 7-8'!F6</f>
        <v>539263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805017</v>
      </c>
      <c r="C2595" s="2" t="s">
        <v>573</v>
      </c>
      <c r="D2595" s="2" t="str">
        <f t="shared" si="39"/>
        <v>Error?</v>
      </c>
    </row>
    <row r="2596" spans="1:4" x14ac:dyDescent="0.2">
      <c r="A2596" s="5">
        <v>2535</v>
      </c>
      <c r="B2596" s="138">
        <f>'Acct Summary 7-8'!F13</f>
        <v>999608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999608</v>
      </c>
      <c r="C2600" s="2" t="s">
        <v>573</v>
      </c>
      <c r="D2600" s="2" t="str">
        <f t="shared" si="39"/>
        <v>Error?</v>
      </c>
    </row>
    <row r="2601" spans="1:4" x14ac:dyDescent="0.2">
      <c r="A2601" s="5">
        <v>2540</v>
      </c>
      <c r="B2601" s="138">
        <f>'Acct Summary 7-8'!F20</f>
        <v>-194591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341146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341146</v>
      </c>
      <c r="C2606" s="2" t="s">
        <v>573</v>
      </c>
      <c r="D2606" s="2" t="str">
        <f t="shared" si="39"/>
        <v>Error?</v>
      </c>
    </row>
    <row r="2607" spans="1:4" x14ac:dyDescent="0.2">
      <c r="A2607" s="5">
        <v>2546</v>
      </c>
      <c r="B2607" s="138">
        <f>'Acct Summary 7-8'!G12</f>
        <v>131741</v>
      </c>
      <c r="C2607" s="2" t="s">
        <v>573</v>
      </c>
      <c r="D2607" s="2" t="str">
        <f t="shared" si="39"/>
        <v>Error?</v>
      </c>
    </row>
    <row r="2608" spans="1:4" x14ac:dyDescent="0.2">
      <c r="A2608" s="5">
        <v>2547</v>
      </c>
      <c r="B2608" s="138">
        <f>'Acct Summary 7-8'!G13</f>
        <v>202496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334237</v>
      </c>
      <c r="C2612" s="2" t="s">
        <v>573</v>
      </c>
      <c r="D2612" s="2" t="str">
        <f t="shared" si="39"/>
        <v>Error?</v>
      </c>
    </row>
    <row r="2613" spans="1:4" x14ac:dyDescent="0.2">
      <c r="A2613" s="5">
        <v>2552</v>
      </c>
      <c r="B2613" s="138">
        <f>'Acct Summary 7-8'!G20</f>
        <v>6909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113075</v>
      </c>
      <c r="C2634" s="2" t="s">
        <v>573</v>
      </c>
      <c r="D2634" s="2" t="str">
        <f t="shared" si="40"/>
        <v>Error?</v>
      </c>
    </row>
    <row r="2635" spans="1:4" x14ac:dyDescent="0.2">
      <c r="A2635" s="5">
        <v>2574</v>
      </c>
      <c r="B2635" s="138">
        <f>'Acct Summary 7-8'!E17</f>
        <v>113075</v>
      </c>
      <c r="C2635" s="2" t="s">
        <v>573</v>
      </c>
      <c r="D2635" s="2" t="str">
        <f t="shared" si="40"/>
        <v>Error?</v>
      </c>
    </row>
    <row r="2636" spans="1:4" x14ac:dyDescent="0.2">
      <c r="A2636" s="5">
        <v>2575</v>
      </c>
      <c r="B2636" s="138">
        <f>'Acct Summary 7-8'!E20</f>
        <v>-106795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96236</v>
      </c>
      <c r="C2789" s="2" t="s">
        <v>573</v>
      </c>
      <c r="D2789" s="2" t="str">
        <f t="shared" si="42"/>
        <v>Error?</v>
      </c>
    </row>
    <row r="2790" spans="1:4" x14ac:dyDescent="0.2">
      <c r="A2790" s="5">
        <v>2729</v>
      </c>
      <c r="B2790" s="138">
        <f>'Expenditures 15-22'!E102</f>
        <v>96236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2503744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2566125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195309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2566125</v>
      </c>
      <c r="D2912" s="2" t="str">
        <f t="shared" si="44"/>
        <v>Error?</v>
      </c>
    </row>
    <row r="2913" spans="1:4" x14ac:dyDescent="0.2">
      <c r="A2913" s="5">
        <v>2852</v>
      </c>
      <c r="B2913" s="138">
        <f>'Assets-Liab 5-6'!I41</f>
        <v>2566125</v>
      </c>
      <c r="C2913" s="2" t="s">
        <v>573</v>
      </c>
      <c r="D2913" s="2" t="str">
        <f t="shared" si="44"/>
        <v>Error?</v>
      </c>
    </row>
    <row r="2914" spans="1:4" x14ac:dyDescent="0.2">
      <c r="A2914" s="5">
        <v>2853</v>
      </c>
      <c r="B2914" s="138">
        <f>'Assets-Liab 5-6'!L33</f>
        <v>142498</v>
      </c>
      <c r="D2914" s="2" t="str">
        <f t="shared" si="44"/>
        <v>Error?</v>
      </c>
    </row>
    <row r="2915" spans="1:4" x14ac:dyDescent="0.2">
      <c r="A2915" s="10">
        <v>2854</v>
      </c>
      <c r="D2915" s="2" t="str">
        <f t="shared" si="44"/>
        <v>OK</v>
      </c>
    </row>
    <row r="2916" spans="1:4" x14ac:dyDescent="0.2">
      <c r="A2916" s="5">
        <v>2855</v>
      </c>
      <c r="B2916" s="138">
        <f>'Assets-Liab 5-6'!L34</f>
        <v>142498</v>
      </c>
      <c r="C2916" s="2" t="s">
        <v>573</v>
      </c>
      <c r="D2916" s="2" t="str">
        <f t="shared" si="44"/>
        <v>Error?</v>
      </c>
    </row>
    <row r="2917" spans="1:4" x14ac:dyDescent="0.2">
      <c r="A2917" s="5">
        <v>2856</v>
      </c>
      <c r="B2917" s="138">
        <f>'Assets-Liab 5-6'!L41</f>
        <v>195309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96236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56076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182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152312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182</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81371</v>
      </c>
      <c r="D3055" s="2" t="str">
        <f t="shared" si="46"/>
        <v>Error?</v>
      </c>
    </row>
    <row r="3056" spans="1:4" x14ac:dyDescent="0.2">
      <c r="A3056" s="5">
        <v>2995</v>
      </c>
      <c r="B3056" s="138">
        <f>'Expenditures 15-22'!D10</f>
        <v>28593</v>
      </c>
      <c r="D3056" s="2" t="str">
        <f t="shared" si="46"/>
        <v>Error?</v>
      </c>
    </row>
    <row r="3057" spans="1:4" x14ac:dyDescent="0.2">
      <c r="A3057" s="5">
        <v>2996</v>
      </c>
      <c r="B3057" s="138">
        <f>'Expenditures 15-22'!E10</f>
        <v>7971</v>
      </c>
      <c r="D3057" s="2" t="str">
        <f t="shared" si="46"/>
        <v>Error?</v>
      </c>
    </row>
    <row r="3058" spans="1:4" x14ac:dyDescent="0.2">
      <c r="A3058" s="5">
        <v>2997</v>
      </c>
      <c r="B3058" s="138">
        <f>'Expenditures 15-22'!F10</f>
        <v>32895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150830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52811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99244</v>
      </c>
      <c r="C3225" s="2" t="s">
        <v>573</v>
      </c>
      <c r="D3225" s="2" t="str">
        <f t="shared" si="49"/>
        <v>Error?</v>
      </c>
    </row>
    <row r="3226" spans="1:4" x14ac:dyDescent="0.2">
      <c r="A3226" s="5">
        <v>3165</v>
      </c>
      <c r="B3226" s="138">
        <f>'Acct Summary 7-8'!I8</f>
        <v>99244</v>
      </c>
      <c r="C3226" s="2" t="s">
        <v>573</v>
      </c>
      <c r="D3226" s="2" t="str">
        <f t="shared" si="49"/>
        <v>Error?</v>
      </c>
    </row>
    <row r="3227" spans="1:4" x14ac:dyDescent="0.2">
      <c r="A3227" s="5">
        <v>3166</v>
      </c>
      <c r="B3227" s="138">
        <f>'Acct Summary 7-8'!I20</f>
        <v>99244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352102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-2961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-194591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6909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-106795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99244</v>
      </c>
      <c r="C3320" s="2" t="s">
        <v>573</v>
      </c>
      <c r="D3320" s="2" t="str">
        <f t="shared" si="50"/>
        <v>Error?</v>
      </c>
    </row>
    <row r="3321" spans="1:4" x14ac:dyDescent="0.2">
      <c r="A3321" s="5">
        <v>3260</v>
      </c>
      <c r="B3321" s="138">
        <f>'Acct Summary 7-8'!I79</f>
        <v>2466881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2566125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869788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206446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91510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21155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1188899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47881</v>
      </c>
      <c r="D3387" s="2" t="str">
        <f t="shared" si="51"/>
        <v>Error?</v>
      </c>
    </row>
    <row r="3388" spans="1:4" x14ac:dyDescent="0.2">
      <c r="A3388" s="5">
        <v>3327</v>
      </c>
      <c r="B3388" s="138">
        <f>'Expenditures 15-22'!D217</f>
        <v>61680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47881</v>
      </c>
      <c r="C3390" s="2" t="s">
        <v>573</v>
      </c>
      <c r="D3390" s="2" t="str">
        <f t="shared" si="51"/>
        <v>Error?</v>
      </c>
    </row>
    <row r="3391" spans="1:4" x14ac:dyDescent="0.2">
      <c r="A3391" s="5">
        <v>3330</v>
      </c>
      <c r="B3391" s="138">
        <f>'Expenditures 15-22'!K217</f>
        <v>61680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540179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62419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92056</v>
      </c>
      <c r="D3417" s="2" t="str">
        <f t="shared" si="52"/>
        <v>Error?</v>
      </c>
    </row>
    <row r="3418" spans="1:4" x14ac:dyDescent="0.2">
      <c r="A3418" s="10">
        <v>3357</v>
      </c>
      <c r="D3418" s="2" t="str">
        <f t="shared" si="52"/>
        <v>OK</v>
      </c>
    </row>
    <row r="3419" spans="1:4" x14ac:dyDescent="0.2">
      <c r="A3419" s="5">
        <v>3358</v>
      </c>
      <c r="B3419" s="138">
        <f>'Assets-Liab 5-6'!F4</f>
        <v>58313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249106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62381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195309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137639</v>
      </c>
      <c r="C3446" s="2" t="s">
        <v>573</v>
      </c>
      <c r="D3446" s="2" t="str">
        <f t="shared" si="52"/>
        <v>Error?</v>
      </c>
    </row>
    <row r="3447" spans="1:4" x14ac:dyDescent="0.2">
      <c r="A3447" s="5">
        <v>3386</v>
      </c>
      <c r="B3447" s="138">
        <f>'Tax Sched 23'!D16</f>
        <v>137639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140000</v>
      </c>
      <c r="C3449" s="2" t="s">
        <v>573</v>
      </c>
      <c r="D3449" s="2" t="str">
        <f t="shared" si="52"/>
        <v>Error?</v>
      </c>
    </row>
    <row r="3450" spans="1:4" x14ac:dyDescent="0.2">
      <c r="A3450" s="5">
        <v>3389</v>
      </c>
      <c r="B3450" s="138">
        <f>'Tax Sched 23'!E16</f>
        <v>140000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62381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118799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181180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181180</v>
      </c>
      <c r="D3567" s="2" t="str">
        <f t="shared" si="54"/>
        <v>Error?</v>
      </c>
    </row>
    <row r="3568" spans="1:4" x14ac:dyDescent="0.2">
      <c r="A3568" s="5">
        <v>3507</v>
      </c>
      <c r="B3568" s="138">
        <f>'Assets-Liab 5-6'!K41</f>
        <v>181180</v>
      </c>
      <c r="C3568" s="2" t="s">
        <v>573</v>
      </c>
      <c r="D3568" s="2" t="str">
        <f t="shared" si="54"/>
        <v>Error?</v>
      </c>
    </row>
    <row r="3569" spans="1:4" x14ac:dyDescent="0.2">
      <c r="A3569" s="5">
        <v>3508</v>
      </c>
      <c r="B3569" s="138">
        <f>'Acct Summary 7-8'!K4</f>
        <v>66159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66159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66159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66159</v>
      </c>
      <c r="C3588" s="2" t="s">
        <v>573</v>
      </c>
      <c r="D3588" s="2" t="str">
        <f t="shared" si="55"/>
        <v>Error?</v>
      </c>
    </row>
    <row r="3589" spans="1:4" x14ac:dyDescent="0.2">
      <c r="A3589" s="5">
        <v>3528</v>
      </c>
      <c r="B3589" s="138">
        <f>'Acct Summary 7-8'!K79</f>
        <v>115021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181180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66159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63870</v>
      </c>
      <c r="C3725" s="2" t="s">
        <v>573</v>
      </c>
      <c r="D3725" s="2" t="str">
        <f t="shared" si="57"/>
        <v>Error?</v>
      </c>
    </row>
    <row r="3726" spans="1:4" x14ac:dyDescent="0.2">
      <c r="A3726" s="5">
        <v>3665</v>
      </c>
      <c r="B3726" s="138">
        <f>'Tax Sched 23'!D13</f>
        <v>63870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67264</v>
      </c>
      <c r="C3728" s="2" t="s">
        <v>573</v>
      </c>
      <c r="D3728" s="2" t="str">
        <f t="shared" si="57"/>
        <v>Error?</v>
      </c>
    </row>
    <row r="3729" spans="1:4" x14ac:dyDescent="0.2">
      <c r="A3729" s="5">
        <v>3668</v>
      </c>
      <c r="B3729" s="138">
        <f>'Tax Sched 23'!E13</f>
        <v>67264</v>
      </c>
      <c r="D3729" s="2" t="str">
        <f t="shared" si="57"/>
        <v>Error?</v>
      </c>
    </row>
    <row r="3730" spans="1:4" x14ac:dyDescent="0.2">
      <c r="A3730" s="5">
        <v>3669</v>
      </c>
      <c r="B3730" s="138">
        <f>'ICR Computation 30'!E10</f>
        <v>184704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3075319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11698598</v>
      </c>
      <c r="C4122" s="2" t="s">
        <v>573</v>
      </c>
      <c r="D4122" s="2" t="str">
        <f t="shared" si="63"/>
        <v>Error?</v>
      </c>
    </row>
    <row r="4123" spans="1:4" x14ac:dyDescent="0.2">
      <c r="A4123" s="5">
        <v>4062</v>
      </c>
      <c r="B4123" s="138">
        <f>'Acct Summary 7-8'!D10</f>
        <v>1050515</v>
      </c>
      <c r="C4123" s="2" t="s">
        <v>573</v>
      </c>
      <c r="D4123" s="2" t="str">
        <f t="shared" si="63"/>
        <v>Error?</v>
      </c>
    </row>
    <row r="4124" spans="1:4" x14ac:dyDescent="0.2">
      <c r="A4124" s="5">
        <v>4063</v>
      </c>
      <c r="B4124" s="138">
        <f>'Acct Summary 7-8'!E10</f>
        <v>6280</v>
      </c>
      <c r="C4124" s="2" t="s">
        <v>573</v>
      </c>
      <c r="D4124" s="2" t="str">
        <f t="shared" si="63"/>
        <v>Error?</v>
      </c>
    </row>
    <row r="4125" spans="1:4" x14ac:dyDescent="0.2">
      <c r="A4125" s="5">
        <v>4064</v>
      </c>
      <c r="B4125" s="138">
        <f>'Acct Summary 7-8'!F10</f>
        <v>805017</v>
      </c>
      <c r="C4125" s="2" t="s">
        <v>573</v>
      </c>
      <c r="D4125" s="2" t="str">
        <f t="shared" si="63"/>
        <v>Error?</v>
      </c>
    </row>
    <row r="4126" spans="1:4" x14ac:dyDescent="0.2">
      <c r="A4126" s="5">
        <v>4065</v>
      </c>
      <c r="B4126" s="138">
        <f>'Acct Summary 7-8'!G10</f>
        <v>341146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99244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66159</v>
      </c>
      <c r="C4130" s="2" t="s">
        <v>573</v>
      </c>
      <c r="D4130" s="2" t="str">
        <f t="shared" si="63"/>
        <v>Error?</v>
      </c>
    </row>
    <row r="4131" spans="1:4" x14ac:dyDescent="0.2">
      <c r="A4131" s="5">
        <v>4070</v>
      </c>
      <c r="B4131" s="138">
        <f>'Acct Summary 7-8'!C18</f>
        <v>3075319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11346496</v>
      </c>
      <c r="C4136" s="2" t="s">
        <v>573</v>
      </c>
      <c r="D4136" s="2" t="str">
        <f t="shared" si="63"/>
        <v>Error?</v>
      </c>
    </row>
    <row r="4137" spans="1:4" x14ac:dyDescent="0.2">
      <c r="A4137" s="5">
        <v>4076</v>
      </c>
      <c r="B4137" s="138">
        <f>'Acct Summary 7-8'!D19</f>
        <v>1053476</v>
      </c>
      <c r="C4137" s="2" t="s">
        <v>573</v>
      </c>
      <c r="D4137" s="2" t="str">
        <f t="shared" si="63"/>
        <v>Error?</v>
      </c>
    </row>
    <row r="4138" spans="1:4" x14ac:dyDescent="0.2">
      <c r="A4138" s="5">
        <v>4077</v>
      </c>
      <c r="B4138" s="138">
        <f>'Acct Summary 7-8'!E19</f>
        <v>113075</v>
      </c>
      <c r="C4138" s="2" t="s">
        <v>573</v>
      </c>
      <c r="D4138" s="2" t="str">
        <f t="shared" si="63"/>
        <v>Error?</v>
      </c>
    </row>
    <row r="4139" spans="1:4" x14ac:dyDescent="0.2">
      <c r="A4139" s="5">
        <v>4078</v>
      </c>
      <c r="B4139" s="138">
        <f>'Acct Summary 7-8'!F19</f>
        <v>999608</v>
      </c>
      <c r="C4139" s="2" t="s">
        <v>573</v>
      </c>
      <c r="D4139" s="2" t="str">
        <f t="shared" si="63"/>
        <v>Error?</v>
      </c>
    </row>
    <row r="4140" spans="1:4" x14ac:dyDescent="0.2">
      <c r="A4140" s="5">
        <v>4079</v>
      </c>
      <c r="B4140" s="138">
        <f>'Acct Summary 7-8'!G19</f>
        <v>334237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220000</v>
      </c>
      <c r="C4171" s="2" t="s">
        <v>573</v>
      </c>
      <c r="D4171" s="2" t="str">
        <f t="shared" si="64"/>
        <v>Error?</v>
      </c>
    </row>
    <row r="4172" spans="1:4" x14ac:dyDescent="0.2">
      <c r="A4172" s="5">
        <v>4111</v>
      </c>
      <c r="B4172" s="138">
        <f>'Short-Term Long-Term Debt 24'!J49</f>
        <v>99781</v>
      </c>
      <c r="C4172" s="2" t="s">
        <v>573</v>
      </c>
      <c r="D4172" s="2" t="str">
        <f t="shared" si="64"/>
        <v>Error?</v>
      </c>
    </row>
    <row r="4173" spans="1:4" x14ac:dyDescent="0.2">
      <c r="A4173" s="5">
        <v>4112</v>
      </c>
      <c r="B4173" s="138">
        <f>'Short-Term Long-Term Debt 24'!H49</f>
        <v>100000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2534.5</v>
      </c>
      <c r="C4265" s="2" t="s">
        <v>573</v>
      </c>
      <c r="D4265" s="2" t="str">
        <f t="shared" si="65"/>
        <v>Error?</v>
      </c>
      <c r="E4265" s="128"/>
    </row>
    <row r="4266" spans="1:5" x14ac:dyDescent="0.2">
      <c r="A4266" s="12">
        <v>4205</v>
      </c>
      <c r="B4266" s="138">
        <f>('FP Info 3'!F10)*100000</f>
        <v>465.9</v>
      </c>
      <c r="C4266" s="2" t="s">
        <v>573</v>
      </c>
      <c r="D4266" s="2" t="str">
        <f t="shared" si="65"/>
        <v>Error?</v>
      </c>
      <c r="E4266" s="128"/>
    </row>
    <row r="4267" spans="1:5" x14ac:dyDescent="0.2">
      <c r="A4267" s="12">
        <v>4206</v>
      </c>
      <c r="B4267" s="138">
        <f>('FP Info 3'!H10)*100000</f>
        <v>186.35999999999999</v>
      </c>
      <c r="C4267" s="2" t="s">
        <v>573</v>
      </c>
      <c r="D4267" s="2" t="str">
        <f t="shared" si="65"/>
        <v>Error?</v>
      </c>
      <c r="E4267" s="128"/>
    </row>
    <row r="4268" spans="1:5" x14ac:dyDescent="0.2">
      <c r="A4268" s="12">
        <v>4207</v>
      </c>
      <c r="B4268" s="138">
        <f>('FP Info 3'!J10)*100000</f>
        <v>3187.0000000000005</v>
      </c>
      <c r="C4268" s="2" t="s">
        <v>573</v>
      </c>
      <c r="D4268" s="2" t="str">
        <f t="shared" si="65"/>
        <v>Error?</v>
      </c>
    </row>
    <row r="4269" spans="1:5" x14ac:dyDescent="0.2">
      <c r="A4269" s="12">
        <v>4208</v>
      </c>
      <c r="B4269" s="138">
        <f>'FP Info 3'!J16</f>
        <v>7495118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23078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21755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6658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46.589999999999996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2192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8405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144374080</v>
      </c>
      <c r="D4995" s="2" t="str">
        <f t="shared" si="77"/>
        <v>Error?</v>
      </c>
    </row>
    <row r="4996" spans="1:4" x14ac:dyDescent="0.2">
      <c r="A4996" s="12">
        <v>4935</v>
      </c>
      <c r="B4996" s="138">
        <f>'FP Info 3'!H31</f>
        <v>19923623.040000003</v>
      </c>
      <c r="D4996" s="2" t="str">
        <f t="shared" si="77"/>
        <v>Error?</v>
      </c>
    </row>
    <row r="4997" spans="1:4" x14ac:dyDescent="0.2">
      <c r="A4997" s="12">
        <v>4936</v>
      </c>
      <c r="B4997" s="138">
        <f>'FP Info 3'!H37</f>
        <v>220000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63870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3474522</v>
      </c>
      <c r="D5061" s="2" t="str">
        <f t="shared" si="78"/>
        <v>Error?</v>
      </c>
    </row>
    <row r="5062" spans="1:4" x14ac:dyDescent="0.2">
      <c r="A5062" s="10">
        <v>5001</v>
      </c>
      <c r="D5062" s="2" t="str">
        <f t="shared" si="78"/>
        <v>OK</v>
      </c>
    </row>
    <row r="5063" spans="1:4" x14ac:dyDescent="0.2">
      <c r="A5063" s="5">
        <v>5002</v>
      </c>
      <c r="B5063" s="138">
        <f>'Revenues 9-14'!C7</f>
        <v>51096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3589488</v>
      </c>
      <c r="C5066" s="2" t="s">
        <v>573</v>
      </c>
      <c r="D5066" s="2" t="str">
        <f t="shared" si="78"/>
        <v>Error?</v>
      </c>
    </row>
    <row r="5067" spans="1:4" x14ac:dyDescent="0.2">
      <c r="A5067" s="5">
        <v>5006</v>
      </c>
      <c r="B5067" s="138">
        <f>'Revenues 9-14'!C14</f>
        <v>3543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2390450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2393993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348400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36459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384859</v>
      </c>
      <c r="C5087" s="2" t="s">
        <v>573</v>
      </c>
      <c r="D5087" s="2" t="str">
        <f t="shared" si="78"/>
        <v>Error?</v>
      </c>
    </row>
    <row r="5088" spans="1:4" x14ac:dyDescent="0.2">
      <c r="A5088" s="5">
        <v>5027</v>
      </c>
      <c r="B5088" s="138">
        <f>'Revenues 9-14'!C65</f>
        <v>41313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41313</v>
      </c>
      <c r="C5090" s="2" t="s">
        <v>573</v>
      </c>
      <c r="D5090" s="2" t="str">
        <f t="shared" si="78"/>
        <v>Error?</v>
      </c>
    </row>
    <row r="5091" spans="1:4" x14ac:dyDescent="0.2">
      <c r="A5091" s="5">
        <v>5030</v>
      </c>
      <c r="B5091" s="138">
        <f>'Revenues 9-14'!C70</f>
        <v>4373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3816</v>
      </c>
      <c r="D5093" s="2" t="str">
        <f t="shared" si="78"/>
        <v>Error?</v>
      </c>
    </row>
    <row r="5094" spans="1:4" x14ac:dyDescent="0.2">
      <c r="A5094" s="5">
        <v>5033</v>
      </c>
      <c r="B5094" s="138">
        <f>'Revenues 9-14'!C73</f>
        <v>4075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129556</v>
      </c>
      <c r="C5096" s="2" t="s">
        <v>573</v>
      </c>
      <c r="D5096" s="2" t="str">
        <f t="shared" si="78"/>
        <v>Error?</v>
      </c>
    </row>
    <row r="5097" spans="1:4" x14ac:dyDescent="0.2">
      <c r="A5097" s="5">
        <v>5036</v>
      </c>
      <c r="B5097" s="138">
        <f>'Revenues 9-14'!C77</f>
        <v>18454</v>
      </c>
      <c r="D5097" s="2" t="str">
        <f t="shared" si="78"/>
        <v>Error?</v>
      </c>
    </row>
    <row r="5098" spans="1:4" x14ac:dyDescent="0.2">
      <c r="A5098" s="5">
        <v>5037</v>
      </c>
      <c r="B5098" s="138">
        <f>'Revenues 9-14'!C78</f>
        <v>3698</v>
      </c>
      <c r="D5098" s="2" t="str">
        <f t="shared" si="78"/>
        <v>Error?</v>
      </c>
    </row>
    <row r="5099" spans="1:4" x14ac:dyDescent="0.2">
      <c r="A5099" s="5">
        <v>5038</v>
      </c>
      <c r="B5099" s="138">
        <f>'Revenues 9-14'!C79</f>
        <v>14470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5507</v>
      </c>
      <c r="D5101" s="2" t="str">
        <f t="shared" si="78"/>
        <v>Error?</v>
      </c>
    </row>
    <row r="5102" spans="1:4" x14ac:dyDescent="0.2">
      <c r="A5102" s="5">
        <v>5041</v>
      </c>
      <c r="B5102" s="138">
        <f>'Revenues 9-14'!C82</f>
        <v>42129</v>
      </c>
      <c r="C5102" s="2" t="s">
        <v>573</v>
      </c>
      <c r="D5102" s="2" t="str">
        <f t="shared" si="78"/>
        <v>Error?</v>
      </c>
    </row>
    <row r="5103" spans="1:4" x14ac:dyDescent="0.2">
      <c r="A5103" s="5">
        <v>5042</v>
      </c>
      <c r="B5103" s="138">
        <f>'Revenues 9-14'!C84</f>
        <v>37209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37209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31651</v>
      </c>
      <c r="D5114" s="2" t="str">
        <f t="shared" si="78"/>
        <v>Error?</v>
      </c>
    </row>
    <row r="5115" spans="1:4" x14ac:dyDescent="0.2">
      <c r="A5115" s="5">
        <v>5054</v>
      </c>
      <c r="B5115" s="138">
        <f>'Revenues 9-14'!C98</f>
        <v>9501</v>
      </c>
      <c r="D5115" s="2" t="str">
        <f t="shared" si="78"/>
        <v>Error?</v>
      </c>
    </row>
    <row r="5116" spans="1:4" x14ac:dyDescent="0.2">
      <c r="A5116" s="5">
        <v>5055</v>
      </c>
      <c r="B5116" s="138">
        <f>'Revenues 9-14'!C99</f>
        <v>1672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42292</v>
      </c>
      <c r="D5119" s="2" t="str">
        <f t="shared" ref="D5119:D5182" si="79">IF(ISBLANK(B5119),"OK",IF(A5119-B5119=0,"OK","Error?"))</f>
        <v>Error?</v>
      </c>
    </row>
    <row r="5120" spans="1:4" x14ac:dyDescent="0.2">
      <c r="A5120" s="5">
        <v>5059</v>
      </c>
      <c r="B5120" s="138">
        <f>'Revenues 9-14'!C108</f>
        <v>87766</v>
      </c>
      <c r="C5120" s="2" t="s">
        <v>573</v>
      </c>
      <c r="D5120" s="2" t="str">
        <f t="shared" si="79"/>
        <v>Error?</v>
      </c>
    </row>
    <row r="5121" spans="1:4" x14ac:dyDescent="0.2">
      <c r="A5121" s="5">
        <v>5060</v>
      </c>
      <c r="B5121" s="138">
        <f>'Revenues 9-14'!C109</f>
        <v>6706313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880212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880212</v>
      </c>
      <c r="C5132" s="2" t="s">
        <v>573</v>
      </c>
      <c r="D5132" s="2" t="str">
        <f t="shared" si="79"/>
        <v>Error?</v>
      </c>
    </row>
    <row r="5133" spans="1:4" x14ac:dyDescent="0.2">
      <c r="A5133" s="5">
        <v>5072</v>
      </c>
      <c r="B5133" s="138">
        <f>'Revenues 9-14'!C125</f>
        <v>104633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104633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20950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48648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2938</v>
      </c>
      <c r="D5167" s="2" t="str">
        <f t="shared" si="79"/>
        <v>Error?</v>
      </c>
    </row>
    <row r="5168" spans="1:4" x14ac:dyDescent="0.2">
      <c r="A5168" s="5">
        <v>5107</v>
      </c>
      <c r="B5168" s="138">
        <f>'Revenues 9-14'!C148</f>
        <v>12793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299582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470786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1350998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120111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34702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154813</v>
      </c>
      <c r="C5246" s="2" t="s">
        <v>573</v>
      </c>
      <c r="D5246" s="2" t="str">
        <f t="shared" si="80"/>
        <v>Error?</v>
      </c>
    </row>
    <row r="5247" spans="1:4" x14ac:dyDescent="0.2">
      <c r="A5247" s="5">
        <v>5186</v>
      </c>
      <c r="B5247" s="138">
        <f>'Revenues 9-14'!C200</f>
        <v>110309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110309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105094</v>
      </c>
      <c r="D5278" s="2" t="str">
        <f t="shared" si="81"/>
        <v>Error?</v>
      </c>
    </row>
    <row r="5279" spans="1:4" x14ac:dyDescent="0.2">
      <c r="A5279" s="5">
        <v>5218</v>
      </c>
      <c r="B5279" s="138">
        <f>'Revenues 9-14'!C214</f>
        <v>127266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232360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8590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8590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565968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565968</v>
      </c>
      <c r="C5326" s="2" t="s">
        <v>573</v>
      </c>
      <c r="D5326" s="2" t="str">
        <f t="shared" si="82"/>
        <v>Error?</v>
      </c>
    </row>
    <row r="5327" spans="1:5" x14ac:dyDescent="0.2">
      <c r="A5327" s="5">
        <v>5266</v>
      </c>
      <c r="B5327" s="138">
        <f>'Revenues 9-14'!C268</f>
        <v>8623279</v>
      </c>
      <c r="C5327" s="2" t="s">
        <v>573</v>
      </c>
      <c r="D5327" s="2" t="str">
        <f t="shared" si="82"/>
        <v>Error?</v>
      </c>
    </row>
    <row r="5328" spans="1:5" x14ac:dyDescent="0.2">
      <c r="A5328" s="5">
        <v>5267</v>
      </c>
      <c r="B5328" s="138">
        <f>'Revenues 9-14'!D5</f>
        <v>638699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638699</v>
      </c>
      <c r="C5334" s="2" t="s">
        <v>573</v>
      </c>
      <c r="D5334" s="2" t="str">
        <f t="shared" si="82"/>
        <v>Error?</v>
      </c>
    </row>
    <row r="5335" spans="1:4" x14ac:dyDescent="0.2">
      <c r="A5335" s="5">
        <v>5274</v>
      </c>
      <c r="B5335" s="138">
        <f>'Revenues 9-14'!D14</f>
        <v>630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400630</v>
      </c>
      <c r="C5339" s="2" t="s">
        <v>573</v>
      </c>
      <c r="D5339" s="2" t="str">
        <f t="shared" si="82"/>
        <v>Error?</v>
      </c>
    </row>
    <row r="5340" spans="1:4" x14ac:dyDescent="0.2">
      <c r="A5340" s="5">
        <v>5279</v>
      </c>
      <c r="B5340" s="138">
        <f>'Revenues 9-14'!D65</f>
        <v>2003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2003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9183</v>
      </c>
      <c r="D5354" s="2" t="str">
        <f t="shared" si="82"/>
        <v>Error?</v>
      </c>
    </row>
    <row r="5355" spans="1:4" x14ac:dyDescent="0.2">
      <c r="A5355" s="5">
        <v>5294</v>
      </c>
      <c r="B5355" s="138">
        <f>'Revenues 9-14'!D108</f>
        <v>9183</v>
      </c>
      <c r="C5355" s="2" t="s">
        <v>573</v>
      </c>
      <c r="D5355" s="2" t="str">
        <f t="shared" si="82"/>
        <v>Error?</v>
      </c>
    </row>
    <row r="5356" spans="1:4" x14ac:dyDescent="0.2">
      <c r="A5356" s="5">
        <v>5295</v>
      </c>
      <c r="B5356" s="138">
        <f>'Revenues 9-14'!D109</f>
        <v>1050515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1050515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6280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6280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6280</v>
      </c>
      <c r="C5552" s="2" t="s">
        <v>573</v>
      </c>
      <c r="D5552" s="2" t="str">
        <f t="shared" si="85"/>
        <v>Error?</v>
      </c>
    </row>
    <row r="5553" spans="1:4" x14ac:dyDescent="0.2">
      <c r="A5553" s="5">
        <v>5492</v>
      </c>
      <c r="B5553" s="138">
        <f>'Revenues 9-14'!F5</f>
        <v>255480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255480</v>
      </c>
      <c r="C5557" s="2" t="s">
        <v>573</v>
      </c>
      <c r="D5557" s="2" t="str">
        <f t="shared" si="85"/>
        <v>Error?</v>
      </c>
    </row>
    <row r="5558" spans="1:4" x14ac:dyDescent="0.2">
      <c r="A5558" s="5">
        <v>5497</v>
      </c>
      <c r="B5558" s="138">
        <f>'Revenues 9-14'!F14</f>
        <v>252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5028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4994</v>
      </c>
      <c r="D5586" s="2" t="str">
        <f t="shared" si="86"/>
        <v>Error?</v>
      </c>
    </row>
    <row r="5587" spans="1:4" x14ac:dyDescent="0.2">
      <c r="A5587" s="5">
        <v>5526</v>
      </c>
      <c r="B5587" s="138">
        <f>'Revenues 9-14'!F108</f>
        <v>4994</v>
      </c>
      <c r="C5587" s="2" t="s">
        <v>573</v>
      </c>
      <c r="D5587" s="2" t="str">
        <f t="shared" si="86"/>
        <v>Error?</v>
      </c>
    </row>
    <row r="5588" spans="1:4" x14ac:dyDescent="0.2">
      <c r="A5588" s="5">
        <v>5527</v>
      </c>
      <c r="B5588" s="138">
        <f>'Revenues 9-14'!F109</f>
        <v>265754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334392</v>
      </c>
      <c r="D5615" s="2" t="str">
        <f t="shared" si="86"/>
        <v>Error?</v>
      </c>
    </row>
    <row r="5616" spans="1:4" x14ac:dyDescent="0.2">
      <c r="A5616" s="10">
        <v>5555</v>
      </c>
      <c r="D5616" s="2" t="str">
        <f t="shared" si="86"/>
        <v>OK</v>
      </c>
    </row>
    <row r="5617" spans="1:5" x14ac:dyDescent="0.2">
      <c r="A5617" s="5">
        <v>5556</v>
      </c>
      <c r="B5617" s="138">
        <f>'Revenues 9-14'!F153</f>
        <v>204871</v>
      </c>
      <c r="D5617" s="2" t="str">
        <f t="shared" si="86"/>
        <v>Error?</v>
      </c>
    </row>
    <row r="5618" spans="1:5" x14ac:dyDescent="0.2">
      <c r="A5618" s="5">
        <v>5557</v>
      </c>
      <c r="B5618" s="138">
        <f>'Revenues 9-14'!F155</f>
        <v>539263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539263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539263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805017</v>
      </c>
      <c r="C5720" s="2" t="s">
        <v>573</v>
      </c>
      <c r="D5720" s="2" t="str">
        <f t="shared" si="88"/>
        <v>Error?</v>
      </c>
    </row>
    <row r="5721" spans="1:4" x14ac:dyDescent="0.2">
      <c r="A5721" s="5">
        <v>5660</v>
      </c>
      <c r="B5721" s="138">
        <f>'Revenues 9-14'!G5</f>
        <v>90473</v>
      </c>
      <c r="D5721" s="2" t="str">
        <f t="shared" si="88"/>
        <v>Error?</v>
      </c>
    </row>
    <row r="5722" spans="1:4" x14ac:dyDescent="0.2">
      <c r="A5722" s="5">
        <v>5661</v>
      </c>
      <c r="B5722" s="138">
        <f>'Revenues 9-14'!G7</f>
        <v>0</v>
      </c>
      <c r="D5722" s="2" t="str">
        <f t="shared" si="88"/>
        <v>Error?</v>
      </c>
    </row>
    <row r="5723" spans="1:4" x14ac:dyDescent="0.2">
      <c r="A5723" s="5">
        <v>5662</v>
      </c>
      <c r="B5723" s="138">
        <f>'Revenues 9-14'!G8</f>
        <v>137639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228112</v>
      </c>
      <c r="C5725" s="2" t="s">
        <v>573</v>
      </c>
      <c r="D5725" s="2" t="str">
        <f t="shared" si="88"/>
        <v>Error?</v>
      </c>
    </row>
    <row r="5726" spans="1:4" x14ac:dyDescent="0.2">
      <c r="A5726" s="5">
        <v>5665</v>
      </c>
      <c r="B5726" s="138">
        <f>'Revenues 9-14'!G14</f>
        <v>225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110625</v>
      </c>
      <c r="C5730" s="2" t="s">
        <v>573</v>
      </c>
      <c r="D5730" s="2" t="str">
        <f t="shared" si="88"/>
        <v>Error?</v>
      </c>
    </row>
    <row r="5731" spans="1:4" x14ac:dyDescent="0.2">
      <c r="A5731" s="5">
        <v>5670</v>
      </c>
      <c r="B5731" s="138">
        <f>'Revenues 9-14'!G65</f>
        <v>2409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2409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341146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63870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63870</v>
      </c>
      <c r="C5918" s="2" t="s">
        <v>573</v>
      </c>
      <c r="D5918" s="2" t="str">
        <f t="shared" si="91"/>
        <v>Error?</v>
      </c>
    </row>
    <row r="5919" spans="1:4" x14ac:dyDescent="0.2">
      <c r="A5919" s="5">
        <v>5858</v>
      </c>
      <c r="B5919" s="138">
        <f>'Revenues 9-14'!I14</f>
        <v>63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63</v>
      </c>
      <c r="C5923" s="2" t="s">
        <v>573</v>
      </c>
      <c r="D5923" s="2" t="str">
        <f t="shared" si="91"/>
        <v>Error?</v>
      </c>
    </row>
    <row r="5924" spans="1:4" x14ac:dyDescent="0.2">
      <c r="A5924" s="5">
        <v>5863</v>
      </c>
      <c r="B5924" s="138">
        <f>'Revenues 9-14'!I65</f>
        <v>35311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35311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99244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63870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63870</v>
      </c>
      <c r="C5987" s="2" t="s">
        <v>573</v>
      </c>
      <c r="D5987" s="2" t="str">
        <f t="shared" si="92"/>
        <v>Error?</v>
      </c>
    </row>
    <row r="5988" spans="1:4" x14ac:dyDescent="0.2">
      <c r="A5988" s="5">
        <v>5927</v>
      </c>
      <c r="B5988" s="138">
        <f>'Revenues 9-14'!K14</f>
        <v>63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63</v>
      </c>
      <c r="C5992" s="2" t="s">
        <v>573</v>
      </c>
      <c r="D5992" s="2" t="str">
        <f t="shared" si="92"/>
        <v>Error?</v>
      </c>
    </row>
    <row r="5993" spans="1:4" x14ac:dyDescent="0.2">
      <c r="A5993" s="5">
        <v>5932</v>
      </c>
      <c r="B5993" s="138">
        <f>'Revenues 9-14'!K65</f>
        <v>2226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66159</v>
      </c>
      <c r="C6023" s="2" t="s">
        <v>573</v>
      </c>
      <c r="D6023" s="2" t="str">
        <f t="shared" si="93"/>
        <v>Error?</v>
      </c>
    </row>
    <row r="6024" spans="1:5" x14ac:dyDescent="0.2">
      <c r="A6024" s="5">
        <v>5963</v>
      </c>
      <c r="B6024" s="138">
        <f>'Revenues 9-14'!G109</f>
        <v>341146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99244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66159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117292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32669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782.8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134917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134917</v>
      </c>
      <c r="D6215" s="2" t="str">
        <f t="shared" si="96"/>
        <v>Error?</v>
      </c>
      <c r="E6215" s="2" t="s">
        <v>190</v>
      </c>
    </row>
    <row r="6216" spans="1:5" x14ac:dyDescent="0.2">
      <c r="A6216">
        <v>6155</v>
      </c>
      <c r="B6216" s="138">
        <f>'Assets-Liab 5-6'!J41</f>
        <v>134917</v>
      </c>
      <c r="D6216" s="2" t="str">
        <f t="shared" si="96"/>
        <v>Error?</v>
      </c>
      <c r="E6216" s="2" t="s">
        <v>190</v>
      </c>
    </row>
    <row r="6217" spans="1:5" x14ac:dyDescent="0.2">
      <c r="A6217">
        <v>6156</v>
      </c>
      <c r="B6217" s="138">
        <f>'Assets-Liab 5-6'!J4</f>
        <v>111605</v>
      </c>
      <c r="D6217" s="2" t="str">
        <f t="shared" si="96"/>
        <v>Error?</v>
      </c>
      <c r="E6217" s="2" t="s">
        <v>190</v>
      </c>
    </row>
    <row r="6218" spans="1:5" x14ac:dyDescent="0.2">
      <c r="A6218">
        <v>6157</v>
      </c>
      <c r="B6218" s="138">
        <f>'Assets-Liab 5-6'!J5</f>
        <v>23312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296286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296286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296286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385849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385849</v>
      </c>
      <c r="D6229" s="2" t="str">
        <f t="shared" si="96"/>
        <v>Error?</v>
      </c>
      <c r="E6229" s="2" t="s">
        <v>190</v>
      </c>
    </row>
    <row r="6230" spans="1:5" x14ac:dyDescent="0.2">
      <c r="A6230">
        <v>6169</v>
      </c>
      <c r="B6230" s="138">
        <f>'Acct Summary 7-8'!J20</f>
        <v>-89563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-89563</v>
      </c>
      <c r="D6263" s="2" t="str">
        <f t="shared" si="96"/>
        <v>Error?</v>
      </c>
      <c r="E6263" s="2" t="s">
        <v>190</v>
      </c>
    </row>
    <row r="6264" spans="1:5" x14ac:dyDescent="0.2">
      <c r="A6264">
        <v>6203</v>
      </c>
      <c r="B6264" s="138">
        <f>'Acct Summary 7-8'!J79</f>
        <v>224480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134917</v>
      </c>
      <c r="D6266" s="2" t="str">
        <f t="shared" si="96"/>
        <v>Error?</v>
      </c>
      <c r="E6266" s="2" t="s">
        <v>190</v>
      </c>
    </row>
    <row r="6267" spans="1:5" x14ac:dyDescent="0.2">
      <c r="A6267">
        <v>6206</v>
      </c>
      <c r="B6267" s="138">
        <f>'Acct Summary 7-8'!C82</f>
        <v>352102</v>
      </c>
      <c r="D6267" s="2" t="str">
        <f t="shared" si="96"/>
        <v>Error?</v>
      </c>
      <c r="E6267" s="2" t="s">
        <v>190</v>
      </c>
    </row>
    <row r="6268" spans="1:5" x14ac:dyDescent="0.2">
      <c r="A6268">
        <v>6207</v>
      </c>
      <c r="B6268" s="138">
        <f>'Acct Summary 7-8'!D82</f>
        <v>-2961</v>
      </c>
      <c r="D6268" s="2" t="str">
        <f t="shared" si="96"/>
        <v>Error?</v>
      </c>
      <c r="E6268" s="2" t="s">
        <v>190</v>
      </c>
    </row>
    <row r="6269" spans="1:5" x14ac:dyDescent="0.2">
      <c r="A6269">
        <v>6208</v>
      </c>
      <c r="B6269" s="138">
        <f>'Acct Summary 7-8'!E82</f>
        <v>-106795</v>
      </c>
      <c r="D6269" s="2" t="str">
        <f t="shared" si="96"/>
        <v>Error?</v>
      </c>
      <c r="E6269" s="2" t="s">
        <v>190</v>
      </c>
    </row>
    <row r="6270" spans="1:5" x14ac:dyDescent="0.2">
      <c r="A6270">
        <v>6209</v>
      </c>
      <c r="B6270" s="138">
        <f>'Acct Summary 7-8'!F82</f>
        <v>-194591</v>
      </c>
      <c r="D6270" s="2" t="str">
        <f t="shared" si="96"/>
        <v>Error?</v>
      </c>
      <c r="E6270" s="2" t="s">
        <v>190</v>
      </c>
    </row>
    <row r="6271" spans="1:5" x14ac:dyDescent="0.2">
      <c r="A6271">
        <v>6210</v>
      </c>
      <c r="B6271" s="138">
        <f>'Acct Summary 7-8'!G82</f>
        <v>6909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99244</v>
      </c>
      <c r="D6273" s="2" t="str">
        <f t="shared" si="97"/>
        <v>Error?</v>
      </c>
      <c r="E6273" s="2" t="s">
        <v>190</v>
      </c>
    </row>
    <row r="6274" spans="1:5" x14ac:dyDescent="0.2">
      <c r="A6274">
        <v>6213</v>
      </c>
      <c r="B6274" s="138">
        <f>'Acct Summary 7-8'!J82</f>
        <v>-89563</v>
      </c>
      <c r="D6274" s="2" t="str">
        <f t="shared" si="97"/>
        <v>Error?</v>
      </c>
      <c r="E6274" s="2" t="s">
        <v>190</v>
      </c>
    </row>
    <row r="6275" spans="1:5" x14ac:dyDescent="0.2">
      <c r="A6275">
        <v>6214</v>
      </c>
      <c r="B6275" s="138">
        <f>'Acct Summary 7-8'!K82</f>
        <v>66159</v>
      </c>
      <c r="D6275" s="2" t="str">
        <f t="shared" si="97"/>
        <v>Error?</v>
      </c>
      <c r="E6275" s="2" t="s">
        <v>190</v>
      </c>
    </row>
    <row r="6276" spans="1:5" x14ac:dyDescent="0.2">
      <c r="A6276">
        <v>6215</v>
      </c>
      <c r="B6276" s="138">
        <f>'Acct Summary 7-8'!C83</f>
        <v>8.3027024069918687E-2</v>
      </c>
      <c r="D6276" s="2" t="str">
        <f t="shared" si="97"/>
        <v>Error?</v>
      </c>
      <c r="E6276" s="2" t="s">
        <v>190</v>
      </c>
    </row>
    <row r="6277" spans="1:5" x14ac:dyDescent="0.2">
      <c r="A6277">
        <v>6216</v>
      </c>
      <c r="B6277" s="138">
        <f>'Acct Summary 7-8'!D83</f>
        <v>-1.4810924369747899E-2</v>
      </c>
      <c r="D6277" s="2" t="str">
        <f t="shared" si="97"/>
        <v>Error?</v>
      </c>
      <c r="E6277" s="2" t="s">
        <v>190</v>
      </c>
    </row>
    <row r="6278" spans="1:5" x14ac:dyDescent="0.2">
      <c r="A6278">
        <v>6217</v>
      </c>
      <c r="B6278" s="138">
        <f>'Acct Summary 7-8'!E83</f>
        <v>-0.8883371180928139</v>
      </c>
      <c r="D6278" s="2" t="str">
        <f t="shared" si="97"/>
        <v>Error?</v>
      </c>
      <c r="E6278" s="2" t="s">
        <v>190</v>
      </c>
    </row>
    <row r="6279" spans="1:5" x14ac:dyDescent="0.2">
      <c r="A6279">
        <v>6218</v>
      </c>
      <c r="B6279" s="138">
        <f>'Acct Summary 7-8'!F83</f>
        <v>-0.39853889620510341</v>
      </c>
      <c r="D6279" s="2" t="str">
        <f t="shared" si="97"/>
        <v>Error?</v>
      </c>
      <c r="E6279" s="2" t="s">
        <v>190</v>
      </c>
    </row>
    <row r="6280" spans="1:5" x14ac:dyDescent="0.2">
      <c r="A6280">
        <v>6219</v>
      </c>
      <c r="B6280" s="138">
        <f>'Acct Summary 7-8'!G83</f>
        <v>1.6787223341262456E-2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3.8674655365580402E-2</v>
      </c>
      <c r="D6282" s="2" t="str">
        <f t="shared" si="97"/>
        <v>Error?</v>
      </c>
      <c r="E6282" s="2" t="s">
        <v>190</v>
      </c>
    </row>
    <row r="6283" spans="1:5" x14ac:dyDescent="0.2">
      <c r="A6283">
        <v>6222</v>
      </c>
      <c r="B6283" s="138">
        <f>'Acct Summary 7-8'!J83</f>
        <v>-0.66383776692336771</v>
      </c>
      <c r="D6283" s="2" t="str">
        <f t="shared" si="97"/>
        <v>Error?</v>
      </c>
      <c r="E6283" s="2" t="s">
        <v>190</v>
      </c>
    </row>
    <row r="6284" spans="1:5" x14ac:dyDescent="0.2">
      <c r="A6284">
        <v>6223</v>
      </c>
      <c r="B6284" s="138">
        <f>'Acct Summary 7-8'!K83</f>
        <v>0.36515619825587814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294962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294962</v>
      </c>
      <c r="D6301" s="2" t="str">
        <f t="shared" si="97"/>
        <v>Error?</v>
      </c>
      <c r="E6301" s="2" t="s">
        <v>190</v>
      </c>
    </row>
    <row r="6302" spans="1:5" x14ac:dyDescent="0.2">
      <c r="A6302">
        <v>6241</v>
      </c>
      <c r="B6302" s="138">
        <f>'Revenues 9-14'!J14</f>
        <v>291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291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2650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296286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27698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134083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166678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92092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26986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348274</v>
      </c>
      <c r="D6880" s="2" t="str">
        <f t="shared" si="106"/>
        <v>Error?</v>
      </c>
    </row>
    <row r="6881" spans="1:4" x14ac:dyDescent="0.2">
      <c r="A6881">
        <v>6820</v>
      </c>
      <c r="B6881" s="138">
        <f>'Expenditures 15-22'!K22</f>
        <v>348274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13544</v>
      </c>
      <c r="D6981" s="2" t="str">
        <f t="shared" si="108"/>
        <v>Error?</v>
      </c>
    </row>
    <row r="6982" spans="1:4" x14ac:dyDescent="0.2">
      <c r="A6982">
        <v>6921</v>
      </c>
      <c r="B6982" s="138">
        <f>'Expenditures 15-22'!K85</f>
        <v>13544</v>
      </c>
      <c r="D6982" s="2" t="str">
        <f t="shared" si="108"/>
        <v>Error?</v>
      </c>
    </row>
    <row r="6983" spans="1:4" x14ac:dyDescent="0.2">
      <c r="A6983">
        <v>6922</v>
      </c>
      <c r="B6983" s="138">
        <f>'Expenditures 15-22'!H86</f>
        <v>39277</v>
      </c>
      <c r="D6983" s="2" t="str">
        <f t="shared" si="108"/>
        <v>Error?</v>
      </c>
    </row>
    <row r="6984" spans="1:4" x14ac:dyDescent="0.2">
      <c r="A6984">
        <v>6923</v>
      </c>
      <c r="B6984" s="138">
        <f>'Expenditures 15-22'!K86</f>
        <v>39277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38250</v>
      </c>
      <c r="D6987" s="2" t="str">
        <f t="shared" si="108"/>
        <v>Error?</v>
      </c>
    </row>
    <row r="6988" spans="1:4" x14ac:dyDescent="0.2">
      <c r="A6988">
        <v>6927</v>
      </c>
      <c r="B6988" s="138">
        <f>'Expenditures 15-22'!K88</f>
        <v>38250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91071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385849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296286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8999</v>
      </c>
      <c r="D7073" s="2" t="str">
        <f t="shared" si="109"/>
        <v>Error?</v>
      </c>
    </row>
    <row r="7074" spans="1:4" x14ac:dyDescent="0.2">
      <c r="A7074">
        <v>7013</v>
      </c>
      <c r="B7074" s="138">
        <f>'Expenditures 15-22'!K216</f>
        <v>8999</v>
      </c>
      <c r="D7074" s="2" t="str">
        <f t="shared" si="109"/>
        <v>Error?</v>
      </c>
    </row>
    <row r="7075" spans="1:4" x14ac:dyDescent="0.2">
      <c r="A7075">
        <v>7014</v>
      </c>
      <c r="B7075" s="138">
        <f>'Expenditures 15-22'!D218</f>
        <v>6022</v>
      </c>
      <c r="D7075" s="2" t="str">
        <f t="shared" si="109"/>
        <v>Error?</v>
      </c>
    </row>
    <row r="7076" spans="1:4" x14ac:dyDescent="0.2">
      <c r="A7076">
        <v>7015</v>
      </c>
      <c r="B7076" s="138">
        <f>'Expenditures 15-22'!K218</f>
        <v>6022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269</v>
      </c>
      <c r="D7079" s="2" t="str">
        <f t="shared" si="109"/>
        <v>Error?</v>
      </c>
    </row>
    <row r="7080" spans="1:4" x14ac:dyDescent="0.2">
      <c r="A7080">
        <v>7019</v>
      </c>
      <c r="B7080" s="138">
        <f>'Expenditures 15-22'!K226</f>
        <v>269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11753</v>
      </c>
      <c r="D7089" s="2" t="str">
        <f t="shared" si="109"/>
        <v>Error?</v>
      </c>
    </row>
    <row r="7090" spans="1:4" x14ac:dyDescent="0.2">
      <c r="A7090">
        <v>7029</v>
      </c>
      <c r="B7090" s="138">
        <f>'Expenditures 15-22'!K252</f>
        <v>11753</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38626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38626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57744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57744</v>
      </c>
      <c r="D7153" s="2" t="str">
        <f t="shared" si="110"/>
        <v>Error?</v>
      </c>
    </row>
    <row r="7154" spans="1:4" x14ac:dyDescent="0.2">
      <c r="A7154">
        <v>7093</v>
      </c>
      <c r="B7154" s="138">
        <f>'Expenditures 15-22'!C323</f>
        <v>147615</v>
      </c>
      <c r="D7154" s="2" t="str">
        <f t="shared" si="110"/>
        <v>Error?</v>
      </c>
    </row>
    <row r="7155" spans="1:4" x14ac:dyDescent="0.2">
      <c r="A7155">
        <v>7094</v>
      </c>
      <c r="B7155" s="138">
        <f>'Expenditures 15-22'!D323</f>
        <v>7931</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33618</v>
      </c>
      <c r="D7157" s="2" t="str">
        <f t="shared" si="110"/>
        <v>Error?</v>
      </c>
    </row>
    <row r="7158" spans="1:4" x14ac:dyDescent="0.2">
      <c r="A7158">
        <v>7097</v>
      </c>
      <c r="B7158" s="138">
        <f>'Expenditures 15-22'!G323</f>
        <v>59519</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248683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14426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25791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25791</v>
      </c>
      <c r="D7198" s="2" t="str">
        <f t="shared" si="111"/>
        <v>Error?</v>
      </c>
    </row>
    <row r="7199" spans="1:4" x14ac:dyDescent="0.2">
      <c r="A7199">
        <v>7138</v>
      </c>
      <c r="B7199" s="138">
        <f>'Expenditures 15-22'!C330</f>
        <v>147615</v>
      </c>
      <c r="D7199" s="2" t="str">
        <f t="shared" si="111"/>
        <v>Error?</v>
      </c>
    </row>
    <row r="7200" spans="1:4" x14ac:dyDescent="0.2">
      <c r="A7200">
        <v>7139</v>
      </c>
      <c r="B7200" s="138">
        <f>'Expenditures 15-22'!D330</f>
        <v>7931</v>
      </c>
      <c r="D7200" s="2" t="str">
        <f t="shared" si="111"/>
        <v>Error?</v>
      </c>
    </row>
    <row r="7201" spans="1:4" x14ac:dyDescent="0.2">
      <c r="A7201">
        <v>7140</v>
      </c>
      <c r="B7201" s="138">
        <f>'Expenditures 15-22'!E330</f>
        <v>137166</v>
      </c>
      <c r="D7201" s="2" t="str">
        <f t="shared" si="111"/>
        <v>Error?</v>
      </c>
    </row>
    <row r="7202" spans="1:4" x14ac:dyDescent="0.2">
      <c r="A7202">
        <v>7141</v>
      </c>
      <c r="B7202" s="138">
        <f>'Expenditures 15-22'!F330</f>
        <v>33618</v>
      </c>
      <c r="D7202" s="2" t="str">
        <f t="shared" si="111"/>
        <v>Error?</v>
      </c>
    </row>
    <row r="7203" spans="1:4" x14ac:dyDescent="0.2">
      <c r="A7203">
        <v>7142</v>
      </c>
      <c r="B7203" s="138">
        <f>'Expenditures 15-22'!G330</f>
        <v>59519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385849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147615</v>
      </c>
      <c r="D7216" s="2" t="str">
        <f t="shared" si="111"/>
        <v>Error?</v>
      </c>
    </row>
    <row r="7217" spans="1:4" x14ac:dyDescent="0.2">
      <c r="A7217">
        <v>7156</v>
      </c>
      <c r="B7217" s="138">
        <f>'Expenditures 15-22'!D342</f>
        <v>7931</v>
      </c>
      <c r="D7217" s="2" t="str">
        <f t="shared" si="111"/>
        <v>Error?</v>
      </c>
    </row>
    <row r="7218" spans="1:4" x14ac:dyDescent="0.2">
      <c r="A7218">
        <v>7157</v>
      </c>
      <c r="B7218" s="138">
        <f>'Expenditures 15-22'!E342</f>
        <v>137166</v>
      </c>
      <c r="D7218" s="2" t="str">
        <f t="shared" si="111"/>
        <v>Error?</v>
      </c>
    </row>
    <row r="7219" spans="1:4" x14ac:dyDescent="0.2">
      <c r="A7219">
        <v>7158</v>
      </c>
      <c r="B7219" s="138">
        <f>'Expenditures 15-22'!F342</f>
        <v>33618</v>
      </c>
      <c r="D7219" s="2" t="str">
        <f t="shared" si="111"/>
        <v>Error?</v>
      </c>
    </row>
    <row r="7220" spans="1:4" x14ac:dyDescent="0.2">
      <c r="A7220">
        <v>7159</v>
      </c>
      <c r="B7220" s="138">
        <f>'Expenditures 15-22'!G342</f>
        <v>59519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385849</v>
      </c>
      <c r="D7224" s="2" t="str">
        <f t="shared" si="111"/>
        <v>Error?</v>
      </c>
    </row>
    <row r="7225" spans="1:4" x14ac:dyDescent="0.2">
      <c r="A7225">
        <v>7164</v>
      </c>
      <c r="B7225" s="138">
        <f>'Expenditures 15-22'!K343</f>
        <v>-89563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25007</v>
      </c>
      <c r="D7246" s="2" t="str">
        <f t="shared" si="112"/>
        <v>Error?</v>
      </c>
    </row>
    <row r="7247" spans="1:4" x14ac:dyDescent="0.2">
      <c r="A7247">
        <f t="shared" si="113"/>
        <v>7186</v>
      </c>
      <c r="B7247" s="138">
        <f>'Expenditures 15-22'!E7</f>
        <v>659</v>
      </c>
      <c r="D7247" s="2" t="str">
        <f t="shared" si="112"/>
        <v>Error?</v>
      </c>
    </row>
    <row r="7248" spans="1:4" x14ac:dyDescent="0.2">
      <c r="A7248">
        <f t="shared" si="113"/>
        <v>7187</v>
      </c>
      <c r="B7248" s="138">
        <f>'Expenditures 15-22'!F7</f>
        <v>6929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72318</v>
      </c>
      <c r="D7251" s="2" t="str">
        <f t="shared" si="112"/>
        <v>Error?</v>
      </c>
    </row>
    <row r="7252" spans="1:4" x14ac:dyDescent="0.2">
      <c r="A7252">
        <f t="shared" si="113"/>
        <v>7191</v>
      </c>
      <c r="B7252" s="138">
        <f>'Expenditures 15-22'!D9</f>
        <v>19371</v>
      </c>
      <c r="D7252" s="2" t="str">
        <f t="shared" si="112"/>
        <v>Error?</v>
      </c>
    </row>
    <row r="7253" spans="1:4" x14ac:dyDescent="0.2">
      <c r="A7253">
        <f t="shared" si="113"/>
        <v>7192</v>
      </c>
      <c r="B7253" s="138">
        <f>'Expenditures 15-22'!E9</f>
        <v>27</v>
      </c>
      <c r="D7253" s="2" t="str">
        <f t="shared" si="112"/>
        <v>Error?</v>
      </c>
    </row>
    <row r="7254" spans="1:4" x14ac:dyDescent="0.2">
      <c r="A7254">
        <f t="shared" si="113"/>
        <v>7193</v>
      </c>
      <c r="B7254" s="138">
        <f>'Expenditures 15-22'!F9</f>
        <v>376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18806</v>
      </c>
      <c r="D7263" s="2" t="str">
        <f t="shared" si="112"/>
        <v>Error?</v>
      </c>
    </row>
    <row r="7264" spans="1:4" x14ac:dyDescent="0.2">
      <c r="A7264">
        <f t="shared" si="113"/>
        <v>7203</v>
      </c>
      <c r="B7264" s="138">
        <f>'Expenditures 15-22'!D17</f>
        <v>2840</v>
      </c>
      <c r="D7264" s="2" t="str">
        <f t="shared" si="112"/>
        <v>Error?</v>
      </c>
    </row>
    <row r="7265" spans="1:5" x14ac:dyDescent="0.2">
      <c r="A7265">
        <f t="shared" si="113"/>
        <v>7204</v>
      </c>
      <c r="B7265" s="138">
        <f>'Expenditures 15-22'!E17</f>
        <v>4493</v>
      </c>
      <c r="D7265" s="2" t="str">
        <f t="shared" si="112"/>
        <v>Error?</v>
      </c>
    </row>
    <row r="7266" spans="1:5" x14ac:dyDescent="0.2">
      <c r="A7266">
        <f t="shared" si="113"/>
        <v>7205</v>
      </c>
      <c r="B7266" s="138">
        <f>'Expenditures 15-22'!F17</f>
        <v>847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525259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2650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12793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15443</v>
      </c>
      <c r="D7719" s="2" t="str">
        <f t="shared" si="126"/>
        <v>Error?</v>
      </c>
      <c r="E7719" s="2" t="s">
        <v>827</v>
      </c>
    </row>
    <row r="7720" spans="1:6" x14ac:dyDescent="0.2">
      <c r="A7720">
        <v>7659</v>
      </c>
      <c r="B7720" s="138">
        <f>'Rest Tax Levies-Tort Im 25'!H14</f>
        <v>51101</v>
      </c>
      <c r="D7720" s="2" t="str">
        <f t="shared" si="126"/>
        <v>Error?</v>
      </c>
      <c r="E7720" s="2" t="s">
        <v>827</v>
      </c>
    </row>
    <row r="7721" spans="1:6" x14ac:dyDescent="0.2">
      <c r="A7721">
        <v>7660</v>
      </c>
      <c r="B7721" s="138">
        <f>'Rest Tax Levies-Tort Im 25'!K14</f>
        <v>15443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1654540</v>
      </c>
      <c r="D7797" s="2" t="str">
        <f t="shared" si="127"/>
        <v>Error?</v>
      </c>
      <c r="E7797" s="4" t="s">
        <v>1904</v>
      </c>
    </row>
    <row r="7798" spans="1:5" x14ac:dyDescent="0.2">
      <c r="A7798">
        <v>7737</v>
      </c>
      <c r="B7798" s="138">
        <f>'Contracts Paid in CY 29'!F141</f>
        <v>200000</v>
      </c>
      <c r="D7798" s="2" t="str">
        <f t="shared" si="127"/>
        <v>Error?</v>
      </c>
      <c r="E7798" s="4" t="s">
        <v>1904</v>
      </c>
    </row>
    <row r="7799" spans="1:5" x14ac:dyDescent="0.2">
      <c r="A7799">
        <v>7738</v>
      </c>
      <c r="B7799" s="138">
        <f>'Contracts Paid in CY 29'!G141</f>
        <v>1454540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4" t="str">
        <f>COVER!A17</f>
        <v>Putnam County CUSD 535</v>
      </c>
      <c r="B7" s="2385"/>
      <c r="C7" s="2385"/>
      <c r="D7" s="2422"/>
      <c r="E7" s="2423">
        <f>COVER!A13</f>
        <v>35078535026</v>
      </c>
      <c r="F7" s="2424"/>
      <c r="G7" s="2391" t="str">
        <f>COVER!T23</f>
        <v>066-005027</v>
      </c>
      <c r="H7" s="2392"/>
      <c r="I7" s="2392"/>
      <c r="J7" s="2392"/>
      <c r="K7" s="2392"/>
      <c r="L7" s="239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4"/>
      <c r="B9" s="2395"/>
      <c r="C9" s="2395"/>
      <c r="D9" s="2395"/>
      <c r="E9" s="2395"/>
      <c r="F9" s="2396"/>
      <c r="G9" s="2397" t="str">
        <f>COVER!T13</f>
        <v>Gorenz and Associates, Ltd.</v>
      </c>
      <c r="H9" s="2398"/>
      <c r="I9" s="2398"/>
      <c r="J9" s="2398"/>
      <c r="K9" s="2398"/>
      <c r="L9" s="2399"/>
    </row>
    <row r="10" spans="1:29" ht="13.5" customHeight="1" x14ac:dyDescent="0.2">
      <c r="A10" s="2381" t="str">
        <f>COVER!A38</f>
        <v>Carl Carlson</v>
      </c>
      <c r="B10" s="2382"/>
      <c r="C10" s="2382"/>
      <c r="D10" s="2382"/>
      <c r="E10" s="2382"/>
      <c r="F10" s="2383"/>
      <c r="G10" s="2397" t="str">
        <f>COVER!T17</f>
        <v>4200 N Knoxville Ave</v>
      </c>
      <c r="H10" s="2410"/>
      <c r="I10" s="2410"/>
      <c r="J10" s="2410"/>
      <c r="K10" s="2410"/>
      <c r="L10" s="2411"/>
    </row>
    <row r="11" spans="1:29" ht="13.5" customHeight="1" x14ac:dyDescent="0.2">
      <c r="A11" s="1181" t="s">
        <v>1519</v>
      </c>
      <c r="B11" s="1182"/>
      <c r="C11" s="1183"/>
      <c r="D11" s="1188"/>
      <c r="E11" s="1183"/>
      <c r="F11" s="1187"/>
      <c r="G11" s="2397" t="str">
        <f>COVER!T19</f>
        <v>Peoria</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tpeffer@gorenzcpa.com</v>
      </c>
      <c r="J13" s="2419"/>
      <c r="K13" s="2419"/>
      <c r="L13" s="2420"/>
    </row>
    <row r="14" spans="1:29" ht="13.5" customHeight="1" x14ac:dyDescent="0.2">
      <c r="A14" s="2397" t="str">
        <f>COVER!A19</f>
        <v>400 E. Silverspoon Avenue</v>
      </c>
      <c r="B14" s="2410"/>
      <c r="C14" s="2410"/>
      <c r="D14" s="2410"/>
      <c r="E14" s="2410"/>
      <c r="F14" s="2411"/>
      <c r="G14" s="1192" t="s">
        <v>1185</v>
      </c>
      <c r="H14" s="1190"/>
      <c r="I14" s="1190"/>
      <c r="J14" s="1190"/>
      <c r="K14" s="1190"/>
      <c r="L14" s="1191"/>
    </row>
    <row r="15" spans="1:29" ht="13.5" customHeight="1" x14ac:dyDescent="0.2">
      <c r="A15" s="2397" t="str">
        <f>COVER!A21</f>
        <v>Granville</v>
      </c>
      <c r="B15" s="2410"/>
      <c r="C15" s="2410"/>
      <c r="D15" s="2410"/>
      <c r="E15" s="2410"/>
      <c r="F15" s="2411"/>
      <c r="G15" s="2407" t="str">
        <f>COVER!T15</f>
        <v>Thomas R. Peffer, CPA</v>
      </c>
      <c r="H15" s="2408"/>
      <c r="I15" s="2408"/>
      <c r="J15" s="2408"/>
      <c r="K15" s="2408"/>
      <c r="L15" s="2409"/>
    </row>
    <row r="16" spans="1:29" ht="12.2" customHeight="1" x14ac:dyDescent="0.2">
      <c r="A16" s="2387">
        <f>COVER!A25</f>
        <v>61326</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2" t="s">
        <v>1184</v>
      </c>
      <c r="H17" s="1190"/>
      <c r="I17" s="1190"/>
      <c r="J17" s="1190"/>
      <c r="K17" s="1194" t="s">
        <v>1183</v>
      </c>
      <c r="L17" s="1187"/>
      <c r="M17" s="1180"/>
    </row>
    <row r="18" spans="1:13" ht="12.2" customHeight="1" x14ac:dyDescent="0.2">
      <c r="A18" s="2381"/>
      <c r="B18" s="2382"/>
      <c r="C18" s="2382"/>
      <c r="D18" s="2382"/>
      <c r="E18" s="2382"/>
      <c r="F18" s="2383"/>
      <c r="G18" s="2384" t="str">
        <f>COVER!T21</f>
        <v>309-685-7621</v>
      </c>
      <c r="H18" s="2385"/>
      <c r="I18" s="2385"/>
      <c r="J18" s="2385"/>
      <c r="K18" s="2384" t="str">
        <f>COVER!X21</f>
        <v>309-685-4758</v>
      </c>
      <c r="L18" s="238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5" t="str">
        <f>'Single Audit Cover'!A7</f>
        <v>Putnam County CUSD 535</v>
      </c>
      <c r="B1" s="2421"/>
      <c r="C1" s="2421"/>
      <c r="D1" s="2421"/>
    </row>
    <row r="2" spans="1:11" s="1209" customFormat="1" ht="12.75" x14ac:dyDescent="0.2">
      <c r="A2" s="2426">
        <f>'Single Audit Cover'!E7</f>
        <v>35078535026</v>
      </c>
      <c r="B2" s="2427"/>
      <c r="C2" s="2427"/>
      <c r="D2" s="2427"/>
    </row>
    <row r="3" spans="1:11" s="1209" customFormat="1" ht="12.75" x14ac:dyDescent="0.2">
      <c r="A3" s="2425" t="s">
        <v>1513</v>
      </c>
      <c r="B3" s="2421"/>
      <c r="C3" s="2421"/>
      <c r="D3" s="2421"/>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9" t="str">
        <f>'Single Audit Cover'!A7</f>
        <v>Putnam County CUSD 535</v>
      </c>
      <c r="B1" s="2429"/>
      <c r="C1" s="2429"/>
      <c r="D1" s="2429"/>
      <c r="E1" s="2429"/>
    </row>
    <row r="2" spans="1:5" x14ac:dyDescent="0.2">
      <c r="A2" s="2430">
        <f>'Single Audit Cover'!E7</f>
        <v>35078535026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4" t="s">
        <v>1243</v>
      </c>
    </row>
    <row r="10" spans="1:5" x14ac:dyDescent="0.2">
      <c r="A10" s="1255" t="s">
        <v>1242</v>
      </c>
      <c r="B10" s="1256" t="s">
        <v>1241</v>
      </c>
      <c r="C10" s="1256"/>
      <c r="D10" s="1257">
        <f>SUM('Acct Summary 7-8'!C7:K7)</f>
        <v>565968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32669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-21755</v>
      </c>
    </row>
    <row r="19" spans="1:4" ht="13.5" thickBot="1" x14ac:dyDescent="0.25">
      <c r="A19" s="1259" t="s">
        <v>1235</v>
      </c>
      <c r="D19" s="1260">
        <f>SUM(D10:D17)</f>
        <v>576882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1"/>
      <c r="B24" s="2431"/>
      <c r="D24" s="1262"/>
    </row>
    <row r="25" spans="1:4" x14ac:dyDescent="0.2">
      <c r="A25" s="2428"/>
      <c r="B25" s="2428"/>
      <c r="D25" s="1262"/>
    </row>
    <row r="26" spans="1:4" x14ac:dyDescent="0.2">
      <c r="A26" s="2428"/>
      <c r="B26" s="2428"/>
      <c r="D26" s="1262"/>
    </row>
    <row r="27" spans="1:4" x14ac:dyDescent="0.2">
      <c r="A27" s="2428"/>
      <c r="B27" s="2428"/>
      <c r="D27" s="1262"/>
    </row>
    <row r="28" spans="1:4" x14ac:dyDescent="0.2">
      <c r="A28" s="2428"/>
      <c r="B28" s="2428"/>
      <c r="D28" s="1262"/>
    </row>
    <row r="29" spans="1:4" x14ac:dyDescent="0.2">
      <c r="A29" s="2428"/>
      <c r="B29" s="2428"/>
      <c r="D29" s="1262"/>
    </row>
    <row r="30" spans="1:4" x14ac:dyDescent="0.2">
      <c r="A30" s="2428"/>
      <c r="B30" s="2428"/>
      <c r="D30" s="1262"/>
    </row>
    <row r="32" spans="1:4" x14ac:dyDescent="0.2">
      <c r="A32" s="1254" t="s">
        <v>1233</v>
      </c>
      <c r="D32" s="1257">
        <f>SUM(D19:D30)</f>
        <v>576882</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8"/>
      <c r="B40" s="2428"/>
      <c r="D40" s="1262"/>
    </row>
    <row r="41" spans="1:4" x14ac:dyDescent="0.2">
      <c r="A41" s="2428"/>
      <c r="B41" s="2428"/>
      <c r="D41" s="1265"/>
    </row>
    <row r="42" spans="1:4" x14ac:dyDescent="0.2">
      <c r="A42" s="2428"/>
      <c r="B42" s="2428"/>
      <c r="D42" s="1265"/>
    </row>
    <row r="43" spans="1:4" x14ac:dyDescent="0.2">
      <c r="A43" s="2428"/>
      <c r="B43" s="2428"/>
      <c r="D43" s="1265"/>
    </row>
    <row r="44" spans="1:4" x14ac:dyDescent="0.2">
      <c r="A44" s="2428"/>
      <c r="B44" s="2428"/>
      <c r="D44" s="1265"/>
    </row>
    <row r="45" spans="1:4" x14ac:dyDescent="0.2">
      <c r="A45" s="2428"/>
      <c r="B45" s="2428"/>
      <c r="D45" s="1265"/>
    </row>
    <row r="47" spans="1:4" x14ac:dyDescent="0.2">
      <c r="B47" s="1266" t="s">
        <v>1227</v>
      </c>
      <c r="C47" s="1266"/>
      <c r="D47" s="1267">
        <f>SUM(D35:D45)</f>
        <v>0</v>
      </c>
    </row>
    <row r="49" spans="2:4" x14ac:dyDescent="0.2">
      <c r="B49" s="1266" t="s">
        <v>1226</v>
      </c>
      <c r="C49" s="1266"/>
      <c r="D49" s="1267">
        <f>D32-D47</f>
        <v>576882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90" t="str">
        <f>'Single Audit Cover'!A7</f>
        <v>Putnam County CUSD 535</v>
      </c>
      <c r="C1" s="2433"/>
      <c r="D1" s="2433"/>
      <c r="E1" s="2433"/>
      <c r="F1" s="2433"/>
      <c r="G1" s="2433"/>
      <c r="H1" s="2433"/>
      <c r="I1" s="2433"/>
      <c r="J1" s="2433"/>
      <c r="K1" s="2433"/>
      <c r="L1" s="2433"/>
      <c r="M1" s="2433"/>
    </row>
    <row r="2" spans="2:14" ht="15" x14ac:dyDescent="0.2">
      <c r="B2" s="2434">
        <f>'Single Audit Cover'!E7</f>
        <v>35078535026</v>
      </c>
      <c r="C2" s="2434"/>
      <c r="D2" s="2434"/>
      <c r="E2" s="2434"/>
      <c r="F2" s="2434"/>
      <c r="G2" s="2434"/>
      <c r="H2" s="2434"/>
      <c r="I2" s="2434"/>
      <c r="J2" s="2434"/>
      <c r="K2" s="2434"/>
      <c r="L2" s="2434"/>
      <c r="M2" s="2434"/>
      <c r="N2" s="1296"/>
    </row>
    <row r="3" spans="2:14" ht="15" x14ac:dyDescent="0.2">
      <c r="B3" s="2435" t="s">
        <v>1219</v>
      </c>
      <c r="C3" s="2435"/>
      <c r="D3" s="2435"/>
      <c r="E3" s="2435"/>
      <c r="F3" s="2435"/>
      <c r="G3" s="2435"/>
      <c r="H3" s="2435"/>
      <c r="I3" s="2435"/>
      <c r="J3" s="2435"/>
      <c r="K3" s="2435"/>
      <c r="L3" s="2435"/>
      <c r="M3" s="2435"/>
      <c r="N3" s="1296"/>
    </row>
    <row r="4" spans="2:14" ht="15" x14ac:dyDescent="0.2">
      <c r="B4" s="2436" t="str">
        <f>'Single Audit Cover'!A4</f>
        <v>Year Ending June 30, 2019</v>
      </c>
      <c r="C4" s="2436"/>
      <c r="D4" s="2436"/>
      <c r="E4" s="2436"/>
      <c r="F4" s="2436"/>
      <c r="G4" s="2436"/>
      <c r="H4" s="2436"/>
      <c r="I4" s="2436"/>
      <c r="J4" s="2436"/>
      <c r="K4" s="2436"/>
      <c r="L4" s="2436"/>
      <c r="M4" s="2436"/>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Putnam County CUSD 535</v>
      </c>
      <c r="B1" s="2438"/>
      <c r="C1" s="2438"/>
      <c r="D1" s="2438"/>
      <c r="E1" s="2438"/>
      <c r="F1" s="2438"/>
    </row>
    <row r="2" spans="1:7" ht="13.5" customHeight="1" x14ac:dyDescent="0.2">
      <c r="A2" s="2434">
        <f>'Single Audit Cover'!E7</f>
        <v>35078535026</v>
      </c>
      <c r="B2" s="2434"/>
      <c r="C2" s="2434"/>
      <c r="D2" s="2434"/>
      <c r="E2" s="2434"/>
      <c r="F2" s="2434"/>
      <c r="G2" s="1269"/>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0" t="s">
        <v>1728</v>
      </c>
      <c r="C6" s="317"/>
      <c r="D6" s="317"/>
    </row>
    <row r="7" spans="1:7" ht="60.95" customHeight="1" x14ac:dyDescent="0.2">
      <c r="A7" s="2437" t="s">
        <v>1729</v>
      </c>
      <c r="B7" s="2437"/>
      <c r="C7" s="2437"/>
      <c r="D7" s="2437"/>
      <c r="E7" s="2437"/>
      <c r="F7" s="2437"/>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7" t="s">
        <v>1731</v>
      </c>
      <c r="B13" s="2437"/>
      <c r="C13" s="2437"/>
      <c r="D13" s="2437"/>
      <c r="E13" s="2437"/>
      <c r="F13" s="2437"/>
    </row>
    <row r="14" spans="1:7" ht="9.75" customHeight="1" x14ac:dyDescent="0.2">
      <c r="C14" s="1254"/>
      <c r="D14" s="1254"/>
    </row>
    <row r="15" spans="1:7" ht="13.5" customHeight="1" x14ac:dyDescent="0.2">
      <c r="C15" s="1843" t="s">
        <v>1270</v>
      </c>
      <c r="D15" s="2442" t="s">
        <v>1269</v>
      </c>
      <c r="E15" s="2442"/>
      <c r="F15" s="2442"/>
    </row>
    <row r="16" spans="1:7" ht="13.5" customHeight="1" x14ac:dyDescent="0.2">
      <c r="A16" s="1276"/>
      <c r="B16" s="1270" t="s">
        <v>1268</v>
      </c>
      <c r="C16" s="1843" t="s">
        <v>1267</v>
      </c>
      <c r="D16" s="2443" t="s">
        <v>1588</v>
      </c>
      <c r="E16" s="2443"/>
      <c r="F16" s="2443"/>
    </row>
    <row r="17" spans="1:6" ht="20.45" customHeight="1" x14ac:dyDescent="0.2">
      <c r="A17" s="1277"/>
      <c r="B17" s="1278"/>
      <c r="C17" s="1279"/>
      <c r="D17" s="2441"/>
      <c r="E17" s="2441"/>
      <c r="F17" s="2441"/>
    </row>
    <row r="18" spans="1:6" ht="20.65" customHeight="1" x14ac:dyDescent="0.2">
      <c r="A18" s="1277"/>
      <c r="B18" s="1278"/>
      <c r="C18" s="1279"/>
      <c r="D18" s="2441"/>
      <c r="E18" s="2441"/>
      <c r="F18" s="2441"/>
    </row>
    <row r="19" spans="1:6" ht="20.65" customHeight="1" x14ac:dyDescent="0.2">
      <c r="A19" s="1277"/>
      <c r="B19" s="1278"/>
      <c r="C19" s="1279"/>
      <c r="D19" s="2441"/>
      <c r="E19" s="2441"/>
      <c r="F19" s="2441"/>
    </row>
    <row r="20" spans="1:6" ht="20.65" customHeight="1" x14ac:dyDescent="0.2">
      <c r="A20" s="1277"/>
      <c r="B20" s="1278"/>
      <c r="C20" s="1279"/>
      <c r="D20" s="2441"/>
      <c r="E20" s="2441"/>
      <c r="F20" s="2441"/>
    </row>
    <row r="21" spans="1:6" ht="20.65" customHeight="1" x14ac:dyDescent="0.2">
      <c r="A21" s="1277"/>
      <c r="B21" s="1278"/>
      <c r="C21" s="1279"/>
      <c r="D21" s="2441"/>
      <c r="E21" s="2441"/>
      <c r="F21" s="2441"/>
    </row>
    <row r="22" spans="1:6" ht="20.65" customHeight="1" x14ac:dyDescent="0.2">
      <c r="A22" s="1277"/>
      <c r="B22" s="1278"/>
      <c r="C22" s="1279"/>
      <c r="D22" s="2441"/>
      <c r="E22" s="2441"/>
      <c r="F22" s="2441"/>
    </row>
    <row r="23" spans="1:6" ht="20.65" customHeight="1" x14ac:dyDescent="0.2">
      <c r="A23" s="1277"/>
      <c r="B23" s="1278"/>
      <c r="C23" s="1279"/>
      <c r="D23" s="2441"/>
      <c r="E23" s="2441"/>
      <c r="F23" s="2441"/>
    </row>
    <row r="24" spans="1:6" ht="20.65" customHeight="1" x14ac:dyDescent="0.2">
      <c r="A24" s="1277"/>
      <c r="B24" s="1278"/>
      <c r="C24" s="1279"/>
      <c r="D24" s="2441"/>
      <c r="E24" s="2441"/>
      <c r="F24" s="2441"/>
    </row>
    <row r="25" spans="1:6" ht="20.65" customHeight="1" x14ac:dyDescent="0.2">
      <c r="A25" s="1277"/>
      <c r="B25" s="1278"/>
      <c r="C25" s="1279"/>
      <c r="D25" s="2441"/>
      <c r="E25" s="2441"/>
      <c r="F25" s="2441"/>
    </row>
    <row r="26" spans="1:6" ht="20.65" customHeight="1" x14ac:dyDescent="0.2">
      <c r="A26" s="1277"/>
      <c r="B26" s="1278"/>
      <c r="C26" s="1279"/>
      <c r="D26" s="2441"/>
      <c r="E26" s="2441"/>
      <c r="F26" s="2441"/>
    </row>
    <row r="27" spans="1:6" ht="20.65" customHeight="1" x14ac:dyDescent="0.2">
      <c r="A27" s="1277"/>
      <c r="B27" s="1278"/>
      <c r="C27" s="1279"/>
      <c r="D27" s="2441"/>
      <c r="E27" s="2441"/>
      <c r="F27" s="2441"/>
    </row>
    <row r="28" spans="1:6" ht="20.65" customHeight="1" x14ac:dyDescent="0.2">
      <c r="A28" s="1277"/>
      <c r="B28" s="1278"/>
      <c r="C28" s="1279"/>
      <c r="D28" s="2441"/>
      <c r="E28" s="2441"/>
      <c r="F28" s="2441"/>
    </row>
    <row r="29" spans="1:6" ht="20.65" customHeight="1" x14ac:dyDescent="0.2">
      <c r="A29" s="1277"/>
      <c r="B29" s="1278"/>
      <c r="C29" s="1279"/>
      <c r="D29" s="2441"/>
      <c r="E29" s="2441"/>
      <c r="F29" s="2441"/>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5" t="s">
        <v>1732</v>
      </c>
      <c r="B32" s="2445"/>
      <c r="C32" s="2445"/>
      <c r="D32" s="2445"/>
      <c r="E32" s="2445"/>
      <c r="F32" s="2445"/>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6">
        <f>+C33+C34</f>
        <v>0</v>
      </c>
      <c r="F34" s="2447"/>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8" t="s">
        <v>1590</v>
      </c>
      <c r="C49" s="2448"/>
      <c r="D49" s="2448"/>
      <c r="E49" s="1393"/>
    </row>
    <row r="50" spans="1:5" s="1294" customFormat="1" ht="3.75" customHeight="1" x14ac:dyDescent="0.2">
      <c r="A50" s="1293"/>
      <c r="B50" s="1842"/>
      <c r="C50" s="1842"/>
      <c r="D50" s="1842"/>
      <c r="E50" s="1393"/>
    </row>
    <row r="51" spans="1:5" s="1294" customFormat="1" ht="20.25" customHeight="1" x14ac:dyDescent="0.2">
      <c r="A51" s="1295">
        <v>6</v>
      </c>
      <c r="B51" s="2444" t="s">
        <v>1551</v>
      </c>
      <c r="C51" s="2444"/>
      <c r="D51" s="2444"/>
    </row>
    <row r="52" spans="1:5" ht="14.25" customHeight="1" x14ac:dyDescent="0.2">
      <c r="A52" s="1295"/>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2125</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2126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Putnam County CUSD 535</v>
      </c>
      <c r="C1" s="2454"/>
      <c r="D1" s="2454"/>
      <c r="E1" s="2454"/>
      <c r="F1" s="2454"/>
      <c r="G1" s="2454"/>
      <c r="H1" s="2454"/>
      <c r="I1" s="2454"/>
      <c r="J1" s="1403"/>
    </row>
    <row r="2" spans="2:10" s="317" customFormat="1" ht="12.75" customHeight="1" x14ac:dyDescent="0.2">
      <c r="B2" s="2455">
        <f>'Single Audit Cover'!E7</f>
        <v>35078535026</v>
      </c>
      <c r="C2" s="2456"/>
      <c r="D2" s="2456"/>
      <c r="E2" s="2456"/>
      <c r="F2" s="2456"/>
      <c r="G2" s="2456"/>
      <c r="H2" s="2456"/>
      <c r="I2" s="2456"/>
      <c r="J2" s="1403"/>
    </row>
    <row r="3" spans="2:10" s="317" customFormat="1" ht="12.75" customHeight="1" x14ac:dyDescent="0.2">
      <c r="B3" s="2457" t="s">
        <v>1285</v>
      </c>
      <c r="C3" s="2458"/>
      <c r="D3" s="2458"/>
      <c r="E3" s="2458"/>
      <c r="F3" s="2458"/>
      <c r="G3" s="2458"/>
      <c r="H3" s="2458"/>
      <c r="I3" s="2458"/>
      <c r="J3" s="1404"/>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7" t="s">
        <v>1284</v>
      </c>
      <c r="C7" s="2458"/>
      <c r="D7" s="2458"/>
      <c r="E7" s="2458"/>
      <c r="F7" s="2458"/>
      <c r="G7" s="2458"/>
      <c r="H7" s="2458"/>
      <c r="I7" s="2458"/>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9"/>
      <c r="D11" s="2459"/>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0"/>
      <c r="E29" s="2460"/>
      <c r="F29" s="2460"/>
      <c r="G29" s="2460"/>
      <c r="H29" s="2460"/>
      <c r="I29" s="2460"/>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1" t="s">
        <v>1751</v>
      </c>
      <c r="D37" s="2462"/>
      <c r="E37" s="2462"/>
      <c r="F37" s="2463"/>
      <c r="G37" s="2461" t="s">
        <v>1592</v>
      </c>
      <c r="H37" s="2462"/>
      <c r="I37" s="2463"/>
    </row>
    <row r="38" spans="2:9" ht="16.5" customHeight="1" x14ac:dyDescent="0.2">
      <c r="B38" s="1425"/>
      <c r="C38" s="2449"/>
      <c r="D38" s="2450"/>
      <c r="E38" s="2450"/>
      <c r="F38" s="2451"/>
      <c r="G38" s="2464"/>
      <c r="H38" s="2465"/>
      <c r="I38" s="2466"/>
    </row>
    <row r="39" spans="2:9" ht="16.5" customHeight="1" x14ac:dyDescent="0.2">
      <c r="B39" s="1425"/>
      <c r="C39" s="2449"/>
      <c r="D39" s="2450"/>
      <c r="E39" s="2450"/>
      <c r="F39" s="2451"/>
      <c r="G39" s="2452"/>
      <c r="H39" s="2452"/>
      <c r="I39" s="2452"/>
    </row>
    <row r="40" spans="2:9" ht="16.5" customHeight="1" x14ac:dyDescent="0.2">
      <c r="B40" s="1425"/>
      <c r="C40" s="2449"/>
      <c r="D40" s="2450"/>
      <c r="E40" s="2450"/>
      <c r="F40" s="2451"/>
      <c r="G40" s="2452"/>
      <c r="H40" s="2452"/>
      <c r="I40" s="2452"/>
    </row>
    <row r="41" spans="2:9" ht="16.5" customHeight="1" x14ac:dyDescent="0.2">
      <c r="B41" s="1425"/>
      <c r="C41" s="2449"/>
      <c r="D41" s="2450"/>
      <c r="E41" s="2450"/>
      <c r="F41" s="2451"/>
      <c r="G41" s="2452"/>
      <c r="H41" s="2452"/>
      <c r="I41" s="2452"/>
    </row>
    <row r="42" spans="2:9" ht="16.5" customHeight="1" x14ac:dyDescent="0.2">
      <c r="B42" s="1425"/>
      <c r="C42" s="2449"/>
      <c r="D42" s="2450"/>
      <c r="E42" s="2450"/>
      <c r="F42" s="2451"/>
      <c r="G42" s="2452"/>
      <c r="H42" s="2452"/>
      <c r="I42" s="2452"/>
    </row>
    <row r="43" spans="2:9" ht="16.5" customHeight="1" x14ac:dyDescent="0.2">
      <c r="B43" s="1425"/>
      <c r="C43" s="2467" t="s">
        <v>1593</v>
      </c>
      <c r="D43" s="2468"/>
      <c r="E43" s="2468"/>
      <c r="F43" s="2469"/>
      <c r="G43" s="2470">
        <f>SUM(G38:I42)</f>
        <v>0</v>
      </c>
      <c r="H43" s="2470"/>
      <c r="I43" s="2470"/>
    </row>
    <row r="44" spans="2:9" ht="12.75" customHeight="1" x14ac:dyDescent="0.2"/>
    <row r="45" spans="2:9" ht="12.75" customHeight="1" x14ac:dyDescent="0.2">
      <c r="B45" s="1416" t="s">
        <v>1841</v>
      </c>
      <c r="D45" s="2471">
        <v>0</v>
      </c>
      <c r="E45" s="2472"/>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3"/>
      <c r="F49" s="2473"/>
      <c r="G49" s="2473"/>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Putnam County CUSD 535</v>
      </c>
      <c r="C1" s="2453"/>
      <c r="D1" s="2453"/>
      <c r="E1" s="2453"/>
      <c r="F1" s="2453"/>
      <c r="G1" s="2453"/>
      <c r="H1" s="2453"/>
      <c r="I1" s="2453"/>
      <c r="J1" s="2453"/>
      <c r="K1" s="2453"/>
      <c r="L1" s="1368"/>
      <c r="M1" s="1368"/>
    </row>
    <row r="2" spans="1:13" ht="12" customHeight="1" x14ac:dyDescent="0.2">
      <c r="B2" s="2455">
        <f>'Single Audit Cover'!E7</f>
        <v>35078535026</v>
      </c>
      <c r="C2" s="2455"/>
      <c r="D2" s="2455"/>
      <c r="E2" s="2455"/>
      <c r="F2" s="2455"/>
      <c r="G2" s="2455"/>
      <c r="H2" s="2455"/>
      <c r="I2" s="2455"/>
      <c r="J2" s="2455"/>
      <c r="K2" s="2455"/>
      <c r="L2" s="1369"/>
      <c r="M2" s="1370"/>
    </row>
    <row r="3" spans="1:13" ht="10.35" customHeight="1" x14ac:dyDescent="0.2">
      <c r="B3" s="2476" t="s">
        <v>1285</v>
      </c>
      <c r="C3" s="2476"/>
      <c r="D3" s="2476"/>
      <c r="E3" s="2476"/>
      <c r="F3" s="2476"/>
      <c r="G3" s="2476"/>
      <c r="H3" s="2476"/>
      <c r="I3" s="2476"/>
      <c r="J3" s="2476"/>
      <c r="K3" s="2476"/>
      <c r="L3" s="1371"/>
      <c r="M3" s="1371"/>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7" t="s">
        <v>1296</v>
      </c>
      <c r="C7" s="2477"/>
      <c r="D7" s="2478"/>
      <c r="E7" s="2478"/>
      <c r="F7" s="2478"/>
      <c r="G7" s="2478"/>
      <c r="H7" s="2478"/>
      <c r="I7" s="2478"/>
      <c r="J7" s="2478"/>
      <c r="K7" s="247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5"/>
      <c r="C14" s="2475"/>
      <c r="D14" s="2475"/>
      <c r="E14" s="2475"/>
      <c r="F14" s="2475"/>
      <c r="G14" s="2475"/>
      <c r="H14" s="2475"/>
      <c r="I14" s="2475"/>
      <c r="J14" s="2475"/>
      <c r="K14" s="247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5"/>
      <c r="C17" s="2475"/>
      <c r="D17" s="2475"/>
      <c r="E17" s="2475"/>
      <c r="F17" s="2475"/>
      <c r="G17" s="2475"/>
      <c r="H17" s="2475"/>
      <c r="I17" s="2475"/>
      <c r="J17" s="2475"/>
      <c r="K17" s="247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9"/>
      <c r="C20" s="2479"/>
      <c r="D20" s="2475"/>
      <c r="E20" s="2475"/>
      <c r="F20" s="2475"/>
      <c r="G20" s="2475"/>
      <c r="H20" s="2475"/>
      <c r="I20" s="2475"/>
      <c r="J20" s="2475"/>
      <c r="K20" s="247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5"/>
      <c r="C23" s="2475"/>
      <c r="D23" s="2475"/>
      <c r="E23" s="2475"/>
      <c r="F23" s="2475"/>
      <c r="G23" s="2475"/>
      <c r="H23" s="2475"/>
      <c r="I23" s="2475"/>
      <c r="J23" s="2475"/>
      <c r="K23" s="247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5"/>
      <c r="C26" s="2475"/>
      <c r="D26" s="2475"/>
      <c r="E26" s="2475"/>
      <c r="F26" s="2475"/>
      <c r="G26" s="2475"/>
      <c r="H26" s="2475"/>
      <c r="I26" s="2475"/>
      <c r="J26" s="2475"/>
      <c r="K26" s="247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4"/>
      <c r="C29" s="2474"/>
      <c r="D29" s="2475"/>
      <c r="E29" s="2475"/>
      <c r="F29" s="2475"/>
      <c r="G29" s="2475"/>
      <c r="H29" s="2475"/>
      <c r="I29" s="2475"/>
      <c r="J29" s="2475"/>
      <c r="K29" s="247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4"/>
      <c r="C32" s="2474"/>
      <c r="D32" s="2475"/>
      <c r="E32" s="2475"/>
      <c r="F32" s="2475"/>
      <c r="G32" s="2475"/>
      <c r="H32" s="2475"/>
      <c r="I32" s="2475"/>
      <c r="J32" s="2475"/>
      <c r="K32" s="247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Putnam County CUSD 535</v>
      </c>
      <c r="C1" s="2480"/>
      <c r="D1" s="2480"/>
      <c r="E1" s="2480"/>
      <c r="F1" s="2480"/>
      <c r="G1" s="2480"/>
      <c r="H1" s="2480"/>
      <c r="I1" s="2480"/>
      <c r="J1" s="2480"/>
      <c r="K1" s="2480"/>
      <c r="L1" s="1446"/>
    </row>
    <row r="2" spans="1:12" ht="12.75" customHeight="1" x14ac:dyDescent="0.2">
      <c r="B2" s="2481">
        <f>'Single Audit Cover'!E7</f>
        <v>35078535026</v>
      </c>
      <c r="C2" s="2481"/>
      <c r="D2" s="2481"/>
      <c r="E2" s="2481"/>
      <c r="F2" s="2481"/>
      <c r="G2" s="2481"/>
      <c r="H2" s="2481"/>
      <c r="I2" s="2481"/>
      <c r="J2" s="2481"/>
      <c r="K2" s="2481"/>
      <c r="L2" s="1447"/>
    </row>
    <row r="3" spans="1:12" ht="12.75" customHeight="1" x14ac:dyDescent="0.2">
      <c r="B3" s="2476" t="s">
        <v>1285</v>
      </c>
      <c r="C3" s="2476"/>
      <c r="D3" s="2476"/>
      <c r="E3" s="2476"/>
      <c r="F3" s="2476"/>
      <c r="G3" s="2476"/>
      <c r="H3" s="2476"/>
      <c r="I3" s="2476"/>
      <c r="J3" s="2476"/>
      <c r="K3" s="2476"/>
      <c r="L3" s="1371"/>
    </row>
    <row r="4" spans="1:12" ht="12.75" customHeight="1" x14ac:dyDescent="0.2">
      <c r="B4" s="2476" t="str">
        <f>'Single Audit Cover'!A4</f>
        <v>Year Ending June 30, 2019</v>
      </c>
      <c r="C4" s="2476"/>
      <c r="D4" s="2476"/>
      <c r="E4" s="2476"/>
      <c r="F4" s="2476"/>
      <c r="G4" s="2476"/>
      <c r="H4" s="2476"/>
      <c r="I4" s="2476"/>
      <c r="J4" s="2476"/>
      <c r="K4" s="2476"/>
      <c r="L4" s="1371"/>
    </row>
    <row r="5" spans="1:12" ht="5.25" customHeight="1" x14ac:dyDescent="0.2">
      <c r="B5" s="1254" t="s">
        <v>1169</v>
      </c>
      <c r="C5" s="1254"/>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0"/>
      <c r="G12" s="2460"/>
      <c r="H12" s="2460"/>
      <c r="I12" s="2460"/>
      <c r="J12" s="2460"/>
      <c r="K12" s="2460"/>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3"/>
      <c r="E14" s="2483"/>
      <c r="F14" s="2483"/>
      <c r="H14" s="1456" t="s">
        <v>1303</v>
      </c>
      <c r="I14" s="2484"/>
      <c r="J14" s="2484"/>
      <c r="K14" s="248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4"/>
      <c r="E16" s="2484"/>
      <c r="F16" s="2484"/>
      <c r="G16" s="2484"/>
      <c r="H16" s="2484"/>
      <c r="I16" s="2484"/>
      <c r="J16" s="2484"/>
      <c r="K16" s="2484"/>
      <c r="L16" s="322"/>
    </row>
    <row r="17" spans="2:12" ht="13.5" customHeight="1" x14ac:dyDescent="0.2">
      <c r="B17" s="1381" t="s">
        <v>1301</v>
      </c>
      <c r="C17" s="1381"/>
      <c r="D17" s="2485"/>
      <c r="E17" s="2485"/>
      <c r="F17" s="2485"/>
      <c r="G17" s="2485"/>
      <c r="H17" s="2485"/>
      <c r="I17" s="2485"/>
      <c r="J17" s="2485"/>
      <c r="K17" s="248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5"/>
      <c r="C20" s="2475"/>
      <c r="D20" s="2475"/>
      <c r="E20" s="2475"/>
      <c r="F20" s="2475"/>
      <c r="G20" s="2475"/>
      <c r="H20" s="2475"/>
      <c r="I20" s="2475"/>
      <c r="J20" s="2475"/>
      <c r="K20" s="247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3" t="str">
        <f>'Single Audit Cover'!A7</f>
        <v>Putnam County CUSD 535</v>
      </c>
      <c r="C1" s="2453"/>
      <c r="D1" s="2453"/>
      <c r="E1" s="1466"/>
    </row>
    <row r="2" spans="2:5" s="1276" customFormat="1" ht="12.75" customHeight="1" x14ac:dyDescent="0.2">
      <c r="B2" s="2455">
        <f>'Single Audit Cover'!E7</f>
        <v>35078535026</v>
      </c>
      <c r="C2" s="2455"/>
      <c r="D2" s="2455"/>
      <c r="E2" s="1467"/>
    </row>
    <row r="3" spans="2:5" ht="12.75" customHeight="1" x14ac:dyDescent="0.2">
      <c r="B3" s="2476" t="s">
        <v>1766</v>
      </c>
      <c r="C3" s="2476"/>
      <c r="D3" s="2476"/>
      <c r="E3" s="1268"/>
    </row>
    <row r="4" spans="2:5" s="1276" customFormat="1" ht="12.75" customHeight="1" x14ac:dyDescent="0.2">
      <c r="B4" s="2486" t="str">
        <f>'Single Audit Cover'!A4</f>
        <v>Year Ending June 30, 2019</v>
      </c>
      <c r="C4" s="2486"/>
      <c r="D4" s="2486"/>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2099</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144374080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2.5344999999999999E-2</v>
      </c>
      <c r="E10" s="356" t="s">
        <v>1005</v>
      </c>
      <c r="F10" s="355">
        <v>4.6589999999999999E-3</v>
      </c>
      <c r="G10" s="356" t="s">
        <v>1005</v>
      </c>
      <c r="H10" s="355">
        <v>1.8636E-3</v>
      </c>
      <c r="I10" s="356" t="s">
        <v>1006</v>
      </c>
      <c r="J10" s="1729">
        <f>ROUND(D10+F10+H10,5)</f>
        <v>3.1870000000000002E-2</v>
      </c>
      <c r="K10" s="222"/>
      <c r="L10" s="355">
        <v>4.6589999999999999E-4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10578055</v>
      </c>
      <c r="E16" s="356"/>
      <c r="F16" s="1730">
        <f>SUM('Acct Summary 7-8'!C17,'Acct Summary 7-8'!D17,'Acct Summary 7-8'!F17)</f>
        <v>10324261</v>
      </c>
      <c r="G16" s="356"/>
      <c r="H16" s="1730">
        <f>SUM(D16-F16)</f>
        <v>253794</v>
      </c>
      <c r="I16" s="222"/>
      <c r="J16" s="1730">
        <f>SUM('Acct Summary 7-8'!C81,'Acct Summary 7-8'!D81,'Acct Summary 7-8'!F81,'Acct Summary 7-8'!I81)</f>
        <v>7495118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19923623.040000003</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Putnam County CUSD 535</v>
      </c>
      <c r="E7" s="391"/>
      <c r="G7" s="252"/>
      <c r="H7" s="387"/>
      <c r="I7" s="387"/>
      <c r="J7" s="387"/>
      <c r="K7" s="387"/>
      <c r="L7" s="329"/>
      <c r="M7" s="329"/>
      <c r="N7" s="329"/>
      <c r="O7" s="329"/>
      <c r="P7" s="329"/>
    </row>
    <row r="8" spans="1:18" ht="12.75" x14ac:dyDescent="0.2">
      <c r="A8" s="329"/>
      <c r="B8" s="329"/>
      <c r="C8" s="389" t="s">
        <v>1125</v>
      </c>
      <c r="D8" s="392">
        <f>COVER!A13</f>
        <v>35078535026</v>
      </c>
      <c r="E8" s="393"/>
      <c r="G8" s="329"/>
      <c r="H8" s="329"/>
      <c r="I8" s="329"/>
      <c r="J8" s="329"/>
      <c r="K8" s="329"/>
      <c r="L8" s="329"/>
      <c r="M8" s="329"/>
      <c r="N8" s="329"/>
      <c r="O8" s="329"/>
      <c r="P8" s="329"/>
    </row>
    <row r="9" spans="1:18" ht="12.75" x14ac:dyDescent="0.2">
      <c r="A9" s="329"/>
      <c r="B9" s="329"/>
      <c r="C9" s="389" t="s">
        <v>713</v>
      </c>
      <c r="D9" s="394" t="str">
        <f>COVER!A15</f>
        <v>Putnam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7495118</v>
      </c>
      <c r="I12" s="404"/>
      <c r="J12" s="404"/>
      <c r="K12" s="405">
        <f>TRUNC((H12/H13*100000),5)/100000</f>
        <v>0.70855351</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10578055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10324261</v>
      </c>
      <c r="I17" s="404"/>
      <c r="J17" s="416"/>
      <c r="K17" s="405">
        <f>TRUNC((H17/H18*100000),5)/100000</f>
        <v>0.9760074984999999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10578055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7495118</v>
      </c>
      <c r="I24" s="422"/>
      <c r="J24" s="422"/>
      <c r="K24" s="423">
        <f>TRUNC(((H24/H25*100000)/100000),2)</f>
        <v>261.33999999999997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28678.502779999999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3911021.64016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220000</v>
      </c>
      <c r="I32" s="420"/>
      <c r="J32" s="420"/>
      <c r="K32" s="423">
        <f>TRUNC(100-((((H32/H33*100))*100)/100),2)</f>
        <v>98.89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19923623.040000003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8" sqref="J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6"/>
      <c r="D3" s="1557"/>
      <c r="E3" s="1557"/>
      <c r="F3" s="1557"/>
      <c r="G3" s="1557"/>
      <c r="H3" s="1557"/>
      <c r="I3" s="1557"/>
      <c r="J3" s="1557"/>
      <c r="K3" s="1557"/>
      <c r="L3" s="1557"/>
      <c r="M3" s="1558"/>
      <c r="N3" s="1559"/>
    </row>
    <row r="4" spans="1:14" ht="13.5" customHeight="1" x14ac:dyDescent="0.2">
      <c r="A4" s="463" t="s">
        <v>1651</v>
      </c>
      <c r="B4" s="464"/>
      <c r="C4" s="465">
        <v>540179</v>
      </c>
      <c r="D4" s="465">
        <v>62419</v>
      </c>
      <c r="E4" s="465">
        <v>92056</v>
      </c>
      <c r="F4" s="465">
        <v>58313</v>
      </c>
      <c r="G4" s="465">
        <v>249106</v>
      </c>
      <c r="H4" s="465">
        <v>0</v>
      </c>
      <c r="I4" s="465">
        <v>62381</v>
      </c>
      <c r="J4" s="465">
        <v>111605</v>
      </c>
      <c r="K4" s="465">
        <v>62381</v>
      </c>
      <c r="L4" s="465">
        <v>195309</v>
      </c>
      <c r="M4" s="468"/>
      <c r="N4" s="469"/>
    </row>
    <row r="5" spans="1:14" x14ac:dyDescent="0.2">
      <c r="A5" s="463" t="s">
        <v>992</v>
      </c>
      <c r="B5" s="470">
        <v>120</v>
      </c>
      <c r="C5" s="465">
        <v>3700633</v>
      </c>
      <c r="D5" s="465">
        <v>137501</v>
      </c>
      <c r="E5" s="465">
        <v>28163</v>
      </c>
      <c r="F5" s="465">
        <v>429948</v>
      </c>
      <c r="G5" s="465">
        <v>162457</v>
      </c>
      <c r="H5" s="465">
        <v>0</v>
      </c>
      <c r="I5" s="465">
        <v>2503744</v>
      </c>
      <c r="J5" s="465">
        <v>23312</v>
      </c>
      <c r="K5" s="465">
        <v>118799</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4240812</v>
      </c>
      <c r="D13" s="1734">
        <f t="shared" ref="D13:L13" si="0">SUM(D4:D12)</f>
        <v>199920</v>
      </c>
      <c r="E13" s="1734">
        <f t="shared" si="0"/>
        <v>120219</v>
      </c>
      <c r="F13" s="1734">
        <f t="shared" si="0"/>
        <v>488261</v>
      </c>
      <c r="G13" s="1734">
        <f t="shared" si="0"/>
        <v>411563</v>
      </c>
      <c r="H13" s="1734">
        <f t="shared" si="0"/>
        <v>0</v>
      </c>
      <c r="I13" s="1734">
        <f t="shared" si="0"/>
        <v>2566125</v>
      </c>
      <c r="J13" s="1734">
        <f t="shared" si="0"/>
        <v>134917</v>
      </c>
      <c r="K13" s="1734">
        <f t="shared" si="0"/>
        <v>181180</v>
      </c>
      <c r="L13" s="1734">
        <f t="shared" si="0"/>
        <v>195309</v>
      </c>
      <c r="M13" s="468"/>
      <c r="N13" s="469"/>
    </row>
    <row r="14" spans="1:14" ht="18" customHeight="1" thickTop="1" x14ac:dyDescent="0.2">
      <c r="A14" s="2110" t="s">
        <v>147</v>
      </c>
      <c r="B14" s="2111"/>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241877</v>
      </c>
      <c r="N16" s="482"/>
    </row>
    <row r="17" spans="1:14" s="483" customFormat="1" ht="12.75" customHeight="1" x14ac:dyDescent="0.2">
      <c r="A17" s="480" t="s">
        <v>1403</v>
      </c>
      <c r="B17" s="481">
        <v>230</v>
      </c>
      <c r="C17" s="475"/>
      <c r="D17" s="475"/>
      <c r="E17" s="475"/>
      <c r="F17" s="475"/>
      <c r="G17" s="475"/>
      <c r="H17" s="475"/>
      <c r="I17" s="475"/>
      <c r="J17" s="475"/>
      <c r="K17" s="475"/>
      <c r="L17" s="475"/>
      <c r="M17" s="465">
        <v>17049867</v>
      </c>
      <c r="N17" s="482"/>
    </row>
    <row r="18" spans="1:14" s="483" customFormat="1" ht="12.75" customHeight="1" x14ac:dyDescent="0.2">
      <c r="A18" s="480" t="s">
        <v>1404</v>
      </c>
      <c r="B18" s="481">
        <v>240</v>
      </c>
      <c r="C18" s="475"/>
      <c r="D18" s="475"/>
      <c r="E18" s="475"/>
      <c r="F18" s="475"/>
      <c r="G18" s="475"/>
      <c r="H18" s="475"/>
      <c r="I18" s="475"/>
      <c r="J18" s="475"/>
      <c r="K18" s="475"/>
      <c r="L18" s="475"/>
      <c r="M18" s="465">
        <v>2782994</v>
      </c>
      <c r="N18" s="482"/>
    </row>
    <row r="19" spans="1:14" s="483" customFormat="1" ht="12.75" customHeight="1" x14ac:dyDescent="0.2">
      <c r="A19" s="480" t="s">
        <v>1405</v>
      </c>
      <c r="B19" s="481">
        <v>250</v>
      </c>
      <c r="C19" s="475"/>
      <c r="D19" s="475"/>
      <c r="E19" s="475"/>
      <c r="F19" s="475"/>
      <c r="G19" s="475"/>
      <c r="H19" s="475"/>
      <c r="I19" s="475"/>
      <c r="J19" s="475"/>
      <c r="K19" s="475"/>
      <c r="L19" s="475"/>
      <c r="M19" s="465">
        <v>730864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120219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99781</v>
      </c>
    </row>
    <row r="23" spans="1:14" ht="13.5" customHeight="1" thickBot="1" x14ac:dyDescent="0.25">
      <c r="A23" s="1733" t="s">
        <v>643</v>
      </c>
      <c r="B23" s="1738"/>
      <c r="C23" s="468"/>
      <c r="D23" s="468"/>
      <c r="E23" s="468"/>
      <c r="F23" s="468"/>
      <c r="G23" s="468"/>
      <c r="H23" s="468"/>
      <c r="I23" s="468"/>
      <c r="J23" s="468"/>
      <c r="K23" s="468"/>
      <c r="L23" s="468"/>
      <c r="M23" s="1685">
        <f>SUM(M15:M22)</f>
        <v>20805602</v>
      </c>
      <c r="N23" s="1685">
        <f>SUM(N21:N22)</f>
        <v>220000</v>
      </c>
    </row>
    <row r="24" spans="1:14" ht="18" customHeight="1" thickTop="1" x14ac:dyDescent="0.2">
      <c r="A24" s="2112" t="s">
        <v>598</v>
      </c>
      <c r="B24" s="2113"/>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142498</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142498</v>
      </c>
      <c r="M34" s="468"/>
      <c r="N34" s="478"/>
    </row>
    <row r="35" spans="1:14" ht="18" customHeight="1" thickTop="1" x14ac:dyDescent="0.2">
      <c r="A35" s="2114" t="s">
        <v>529</v>
      </c>
      <c r="B35" s="2115"/>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220000</v>
      </c>
    </row>
    <row r="37" spans="1:14" ht="13.5" thickBot="1" x14ac:dyDescent="0.25">
      <c r="A37" s="1733" t="s">
        <v>653</v>
      </c>
      <c r="B37" s="1738"/>
      <c r="C37" s="475"/>
      <c r="D37" s="475"/>
      <c r="E37" s="475"/>
      <c r="F37" s="475"/>
      <c r="G37" s="475"/>
      <c r="H37" s="475"/>
      <c r="I37" s="475"/>
      <c r="J37" s="475"/>
      <c r="K37" s="475"/>
      <c r="L37" s="478"/>
      <c r="M37" s="468"/>
      <c r="N37" s="1685">
        <f>SUM(N36:N36)</f>
        <v>220000</v>
      </c>
    </row>
    <row r="38" spans="1:14" s="329" customFormat="1" ht="13.5" customHeight="1" thickTop="1" x14ac:dyDescent="0.2">
      <c r="A38" s="493" t="s">
        <v>420</v>
      </c>
      <c r="B38" s="481">
        <v>714</v>
      </c>
      <c r="C38" s="465">
        <v>402</v>
      </c>
      <c r="D38" s="465">
        <v>0</v>
      </c>
      <c r="E38" s="465">
        <v>0</v>
      </c>
      <c r="F38" s="465">
        <v>0</v>
      </c>
      <c r="G38" s="465">
        <v>125378</v>
      </c>
      <c r="H38" s="465">
        <v>0</v>
      </c>
      <c r="I38" s="465">
        <v>0</v>
      </c>
      <c r="J38" s="465">
        <v>0</v>
      </c>
      <c r="K38" s="465">
        <v>0</v>
      </c>
      <c r="L38" s="465">
        <v>52811</v>
      </c>
      <c r="M38" s="494"/>
      <c r="N38" s="494"/>
    </row>
    <row r="39" spans="1:14" s="329" customFormat="1" ht="13.5" customHeight="1" x14ac:dyDescent="0.2">
      <c r="A39" s="493" t="s">
        <v>342</v>
      </c>
      <c r="B39" s="481">
        <v>730</v>
      </c>
      <c r="C39" s="465">
        <v>4240410</v>
      </c>
      <c r="D39" s="465">
        <v>199920</v>
      </c>
      <c r="E39" s="465">
        <v>120219</v>
      </c>
      <c r="F39" s="465">
        <v>488261</v>
      </c>
      <c r="G39" s="465">
        <v>286185</v>
      </c>
      <c r="H39" s="465">
        <v>0</v>
      </c>
      <c r="I39" s="465">
        <v>2566125</v>
      </c>
      <c r="J39" s="465">
        <v>134917</v>
      </c>
      <c r="K39" s="465">
        <v>181180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20805602</v>
      </c>
      <c r="N40" s="494"/>
    </row>
    <row r="41" spans="1:14" ht="13.5" customHeight="1" thickBot="1" x14ac:dyDescent="0.25">
      <c r="A41" s="1733" t="s">
        <v>655</v>
      </c>
      <c r="B41" s="1703"/>
      <c r="C41" s="1685">
        <f>(SUM(C34,C37,C38,C39))</f>
        <v>4240812</v>
      </c>
      <c r="D41" s="1685">
        <f t="shared" ref="D41:L41" si="2">SUM(D34,D37,D38:D39)</f>
        <v>199920</v>
      </c>
      <c r="E41" s="1685">
        <f t="shared" si="2"/>
        <v>120219</v>
      </c>
      <c r="F41" s="1685">
        <f t="shared" si="2"/>
        <v>488261</v>
      </c>
      <c r="G41" s="1685">
        <f t="shared" si="2"/>
        <v>411563</v>
      </c>
      <c r="H41" s="1685">
        <f t="shared" si="2"/>
        <v>0</v>
      </c>
      <c r="I41" s="1685">
        <f t="shared" si="2"/>
        <v>2566125</v>
      </c>
      <c r="J41" s="1685">
        <f t="shared" si="2"/>
        <v>134917</v>
      </c>
      <c r="K41" s="1685">
        <f t="shared" si="2"/>
        <v>181180</v>
      </c>
      <c r="L41" s="1685">
        <f t="shared" si="2"/>
        <v>195309</v>
      </c>
      <c r="M41" s="1685">
        <f>SUM(M40)</f>
        <v>20805602</v>
      </c>
      <c r="N41" s="1685">
        <f>SUM(N37)</f>
        <v>220000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8" sqref="J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6" t="s">
        <v>1175</v>
      </c>
      <c r="B3" s="2137"/>
      <c r="C3" s="1570"/>
      <c r="D3" s="1571"/>
      <c r="E3" s="1571"/>
      <c r="F3" s="1571"/>
      <c r="G3" s="1571"/>
      <c r="H3" s="1571"/>
      <c r="I3" s="1571"/>
      <c r="J3" s="1571"/>
      <c r="K3" s="1572"/>
      <c r="L3" s="503"/>
    </row>
    <row r="4" spans="1:13" ht="15.75" customHeight="1" x14ac:dyDescent="0.2">
      <c r="A4" s="1925" t="s">
        <v>1499</v>
      </c>
      <c r="B4" s="1926">
        <v>1000</v>
      </c>
      <c r="C4" s="1739">
        <f>'Revenues 9-14'!C109</f>
        <v>6706313</v>
      </c>
      <c r="D4" s="1739">
        <f>'Revenues 9-14'!D109</f>
        <v>1050515</v>
      </c>
      <c r="E4" s="1739">
        <f>'Revenues 9-14'!E109</f>
        <v>6280</v>
      </c>
      <c r="F4" s="1739">
        <f>'Revenues 9-14'!F109</f>
        <v>265754</v>
      </c>
      <c r="G4" s="1739">
        <f>'Revenues 9-14'!G109</f>
        <v>341146</v>
      </c>
      <c r="H4" s="1739">
        <f>'Revenues 9-14'!H109</f>
        <v>0</v>
      </c>
      <c r="I4" s="1739">
        <f>'Revenues 9-14'!I109</f>
        <v>99244</v>
      </c>
      <c r="J4" s="1739">
        <f>'Revenues 9-14'!J109</f>
        <v>296286</v>
      </c>
      <c r="K4" s="1739">
        <f>'Revenues 9-14'!K109</f>
        <v>66159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1350998</v>
      </c>
      <c r="D6" s="1740">
        <f>'Revenues 9-14'!D170</f>
        <v>0</v>
      </c>
      <c r="E6" s="1740">
        <f>'Revenues 9-14'!E170</f>
        <v>0</v>
      </c>
      <c r="F6" s="1740">
        <f>'Revenues 9-14'!F170</f>
        <v>539263</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565968</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8623279</v>
      </c>
      <c r="D8" s="1685">
        <f t="shared" ref="D8:K8" si="0">SUM(D4:D7)</f>
        <v>1050515</v>
      </c>
      <c r="E8" s="1685">
        <f t="shared" si="0"/>
        <v>6280</v>
      </c>
      <c r="F8" s="1685">
        <f t="shared" si="0"/>
        <v>805017</v>
      </c>
      <c r="G8" s="1685">
        <f t="shared" si="0"/>
        <v>341146</v>
      </c>
      <c r="H8" s="1685">
        <f t="shared" si="0"/>
        <v>0</v>
      </c>
      <c r="I8" s="1685">
        <f t="shared" si="0"/>
        <v>99244</v>
      </c>
      <c r="J8" s="1685">
        <f t="shared" si="0"/>
        <v>296286</v>
      </c>
      <c r="K8" s="1685">
        <f t="shared" si="0"/>
        <v>66159</v>
      </c>
      <c r="L8" s="347"/>
    </row>
    <row r="9" spans="1:13" ht="15.75" thickTop="1" x14ac:dyDescent="0.2">
      <c r="A9" s="511" t="s">
        <v>1653</v>
      </c>
      <c r="B9" s="512">
        <v>3998</v>
      </c>
      <c r="C9" s="465">
        <v>3075319</v>
      </c>
      <c r="D9" s="513"/>
      <c r="E9" s="479"/>
      <c r="F9" s="479"/>
      <c r="G9" s="514"/>
      <c r="H9" s="479"/>
      <c r="I9" s="506" t="s">
        <v>1169</v>
      </c>
      <c r="J9" s="476"/>
      <c r="K9" s="479"/>
      <c r="L9" s="347"/>
    </row>
    <row r="10" spans="1:13" s="516" customFormat="1" ht="13.5" thickBot="1" x14ac:dyDescent="0.25">
      <c r="A10" s="1733" t="s">
        <v>1173</v>
      </c>
      <c r="B10" s="1706"/>
      <c r="C10" s="1685">
        <f>SUM(C8:C9)</f>
        <v>11698598</v>
      </c>
      <c r="D10" s="1685">
        <f t="shared" ref="D10:K10" si="1">SUM(D8:D9)</f>
        <v>1050515</v>
      </c>
      <c r="E10" s="1685">
        <f t="shared" si="1"/>
        <v>6280</v>
      </c>
      <c r="F10" s="1685">
        <f t="shared" si="1"/>
        <v>805017</v>
      </c>
      <c r="G10" s="1685">
        <f t="shared" si="1"/>
        <v>341146</v>
      </c>
      <c r="H10" s="1685">
        <f t="shared" si="1"/>
        <v>0</v>
      </c>
      <c r="I10" s="1685">
        <f t="shared" si="1"/>
        <v>99244</v>
      </c>
      <c r="J10" s="1685">
        <f t="shared" si="1"/>
        <v>296286</v>
      </c>
      <c r="K10" s="1685">
        <f t="shared" si="1"/>
        <v>66159</v>
      </c>
      <c r="L10" s="515"/>
    </row>
    <row r="11" spans="1:13" s="516" customFormat="1" ht="16.7" customHeight="1" thickTop="1" x14ac:dyDescent="0.2">
      <c r="A11" s="2110" t="s">
        <v>1176</v>
      </c>
      <c r="B11" s="2111"/>
      <c r="C11" s="1567"/>
      <c r="D11" s="1568"/>
      <c r="E11" s="1568"/>
      <c r="F11" s="1568"/>
      <c r="G11" s="1568"/>
      <c r="H11" s="1568"/>
      <c r="I11" s="1568"/>
      <c r="J11" s="1568"/>
      <c r="K11" s="1569"/>
      <c r="L11" s="515"/>
    </row>
    <row r="12" spans="1:13" ht="15.75" customHeight="1" x14ac:dyDescent="0.2">
      <c r="A12" s="1573" t="s">
        <v>456</v>
      </c>
      <c r="B12" s="1575">
        <v>1000</v>
      </c>
      <c r="C12" s="1739">
        <f>'Expenditures 15-22'!K33</f>
        <v>5870888</v>
      </c>
      <c r="D12" s="517" t="s">
        <v>1169</v>
      </c>
      <c r="E12" s="468" t="s">
        <v>1169</v>
      </c>
      <c r="F12" s="468" t="s">
        <v>1169</v>
      </c>
      <c r="G12" s="1739">
        <f>'Expenditures 15-22'!K229</f>
        <v>131741</v>
      </c>
      <c r="H12" s="518"/>
      <c r="I12" s="468" t="s">
        <v>1169</v>
      </c>
      <c r="J12" s="468" t="s">
        <v>1169</v>
      </c>
      <c r="K12" s="518" t="s">
        <v>1169</v>
      </c>
      <c r="L12" s="347"/>
    </row>
    <row r="13" spans="1:13" ht="15.75" customHeight="1" x14ac:dyDescent="0.2">
      <c r="A13" s="1573" t="s">
        <v>457</v>
      </c>
      <c r="B13" s="1575">
        <v>2000</v>
      </c>
      <c r="C13" s="1740">
        <f>'Expenditures 15-22'!K74</f>
        <v>2156724</v>
      </c>
      <c r="D13" s="1740">
        <f>'Expenditures 15-22'!K129</f>
        <v>1053476</v>
      </c>
      <c r="E13" s="469" t="s">
        <v>1169</v>
      </c>
      <c r="F13" s="1740">
        <f>'Expenditures 15-22'!K184</f>
        <v>999608</v>
      </c>
      <c r="G13" s="1740">
        <f>'Expenditures 15-22'!K279</f>
        <v>202496</v>
      </c>
      <c r="H13" s="1740">
        <f>'Expenditures 15-22'!K303</f>
        <v>0</v>
      </c>
      <c r="I13" s="468" t="s">
        <v>1169</v>
      </c>
      <c r="J13" s="1740">
        <f>'Expenditures 15-22'!K330</f>
        <v>385849</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243565</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113075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8271177</v>
      </c>
      <c r="D17" s="1685">
        <f t="shared" si="2"/>
        <v>1053476</v>
      </c>
      <c r="E17" s="1685">
        <f t="shared" si="2"/>
        <v>113075</v>
      </c>
      <c r="F17" s="1685">
        <f t="shared" si="2"/>
        <v>999608</v>
      </c>
      <c r="G17" s="1685">
        <f t="shared" si="2"/>
        <v>334237</v>
      </c>
      <c r="H17" s="1685">
        <f t="shared" si="2"/>
        <v>0</v>
      </c>
      <c r="I17" s="468"/>
      <c r="J17" s="1685">
        <f>SUM(J12:J16)</f>
        <v>385849</v>
      </c>
      <c r="K17" s="1685">
        <f>SUM(K12:K16)</f>
        <v>0</v>
      </c>
      <c r="L17" s="347"/>
    </row>
    <row r="18" spans="1:12" ht="15" customHeight="1" thickTop="1" x14ac:dyDescent="0.2">
      <c r="A18" s="1741" t="s">
        <v>1654</v>
      </c>
      <c r="B18" s="1742">
        <v>4180</v>
      </c>
      <c r="C18" s="1739">
        <f t="shared" ref="C18:H18" si="3">C9</f>
        <v>3075319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11346496</v>
      </c>
      <c r="D19" s="1685">
        <f t="shared" si="4"/>
        <v>1053476</v>
      </c>
      <c r="E19" s="1685">
        <f t="shared" si="4"/>
        <v>113075</v>
      </c>
      <c r="F19" s="1685">
        <f t="shared" si="4"/>
        <v>999608</v>
      </c>
      <c r="G19" s="1685">
        <f t="shared" si="4"/>
        <v>334237</v>
      </c>
      <c r="H19" s="1685">
        <f t="shared" si="4"/>
        <v>0</v>
      </c>
      <c r="I19" s="468"/>
      <c r="J19" s="1685">
        <f>SUM(J17:J18)</f>
        <v>385849</v>
      </c>
      <c r="K19" s="1685">
        <f>SUM(K17:K18)</f>
        <v>0</v>
      </c>
      <c r="L19" s="347"/>
    </row>
    <row r="20" spans="1:12" ht="16.5" thickTop="1" thickBot="1" x14ac:dyDescent="0.25">
      <c r="A20" s="2126" t="s">
        <v>1655</v>
      </c>
      <c r="B20" s="2127"/>
      <c r="C20" s="1743">
        <f>C8-C17</f>
        <v>352102</v>
      </c>
      <c r="D20" s="1743">
        <f t="shared" ref="D20:K20" si="5">D8-D17</f>
        <v>-2961</v>
      </c>
      <c r="E20" s="1743">
        <f t="shared" si="5"/>
        <v>-106795</v>
      </c>
      <c r="F20" s="1743">
        <f t="shared" si="5"/>
        <v>-194591</v>
      </c>
      <c r="G20" s="1743">
        <f t="shared" si="5"/>
        <v>6909</v>
      </c>
      <c r="H20" s="1743">
        <f t="shared" si="5"/>
        <v>0</v>
      </c>
      <c r="I20" s="1743">
        <f t="shared" si="5"/>
        <v>99244</v>
      </c>
      <c r="J20" s="1743">
        <f t="shared" si="5"/>
        <v>-89563</v>
      </c>
      <c r="K20" s="1743">
        <f t="shared" si="5"/>
        <v>66159</v>
      </c>
      <c r="L20" s="347"/>
    </row>
    <row r="21" spans="1:12" ht="16.7" customHeight="1" thickTop="1" x14ac:dyDescent="0.2">
      <c r="A21" s="2138" t="s">
        <v>595</v>
      </c>
      <c r="B21" s="2139"/>
      <c r="C21" s="1567"/>
      <c r="D21" s="1568"/>
      <c r="E21" s="1568"/>
      <c r="F21" s="1568"/>
      <c r="G21" s="1568"/>
      <c r="H21" s="1568"/>
      <c r="I21" s="1568"/>
      <c r="J21" s="1568"/>
      <c r="K21" s="1569"/>
      <c r="L21" s="521"/>
    </row>
    <row r="22" spans="1:12" ht="15.75" customHeight="1" collapsed="1" x14ac:dyDescent="0.2">
      <c r="A22" s="2134" t="s">
        <v>596</v>
      </c>
      <c r="B22" s="2135"/>
      <c r="C22" s="475"/>
      <c r="D22" s="475"/>
      <c r="E22" s="475"/>
      <c r="F22" s="475"/>
      <c r="G22" s="475"/>
      <c r="H22" s="475"/>
      <c r="I22" s="475"/>
      <c r="J22" s="475"/>
      <c r="K22" s="475"/>
      <c r="L22" s="347"/>
    </row>
    <row r="23" spans="1:12" s="483" customFormat="1" ht="15.75" customHeight="1" x14ac:dyDescent="0.2">
      <c r="A23" s="2130" t="s">
        <v>293</v>
      </c>
      <c r="B23" s="2131"/>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32" t="s">
        <v>981</v>
      </c>
      <c r="B32" s="2133"/>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40" t="s">
        <v>374</v>
      </c>
      <c r="B44" s="2141"/>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34" t="s">
        <v>108</v>
      </c>
      <c r="B45" s="2135"/>
      <c r="C45" s="525"/>
      <c r="D45" s="525"/>
      <c r="E45" s="525"/>
      <c r="F45" s="525"/>
      <c r="G45" s="525"/>
      <c r="H45" s="525"/>
      <c r="I45" s="525"/>
      <c r="J45" s="525"/>
      <c r="K45" s="525"/>
      <c r="L45" s="347"/>
    </row>
    <row r="46" spans="1:12" s="483" customFormat="1" ht="15.75" customHeight="1" x14ac:dyDescent="0.2">
      <c r="A46" s="2142" t="s">
        <v>109</v>
      </c>
      <c r="B46" s="2143"/>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6" t="s">
        <v>440</v>
      </c>
      <c r="B76" s="2117"/>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8" t="s">
        <v>1177</v>
      </c>
      <c r="B77" s="2119"/>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22" t="s">
        <v>597</v>
      </c>
      <c r="B78" s="2123"/>
      <c r="C78" s="1699">
        <f t="shared" ref="C78:K78" si="9">C20+C77</f>
        <v>352102</v>
      </c>
      <c r="D78" s="1699">
        <f t="shared" si="9"/>
        <v>-2961</v>
      </c>
      <c r="E78" s="1699">
        <f t="shared" si="9"/>
        <v>-106795</v>
      </c>
      <c r="F78" s="1699">
        <f t="shared" si="9"/>
        <v>-194591</v>
      </c>
      <c r="G78" s="1699">
        <f t="shared" si="9"/>
        <v>6909</v>
      </c>
      <c r="H78" s="1699">
        <f t="shared" si="9"/>
        <v>0</v>
      </c>
      <c r="I78" s="1699">
        <f t="shared" si="9"/>
        <v>99244</v>
      </c>
      <c r="J78" s="1699">
        <f t="shared" si="9"/>
        <v>-89563</v>
      </c>
      <c r="K78" s="1699">
        <f t="shared" si="9"/>
        <v>66159</v>
      </c>
      <c r="L78" s="530"/>
    </row>
    <row r="79" spans="1:12" ht="13.5" thickTop="1" x14ac:dyDescent="0.2">
      <c r="A79" s="1491" t="s">
        <v>1949</v>
      </c>
      <c r="B79" s="531"/>
      <c r="C79" s="476">
        <v>3888710</v>
      </c>
      <c r="D79" s="476">
        <v>202881</v>
      </c>
      <c r="E79" s="476">
        <v>227014</v>
      </c>
      <c r="F79" s="476">
        <v>682852</v>
      </c>
      <c r="G79" s="476">
        <v>404654</v>
      </c>
      <c r="H79" s="476">
        <v>0</v>
      </c>
      <c r="I79" s="476">
        <v>2466881</v>
      </c>
      <c r="J79" s="476">
        <v>224480</v>
      </c>
      <c r="K79" s="476">
        <v>115021</v>
      </c>
      <c r="L79" s="347"/>
    </row>
    <row r="80" spans="1:12" x14ac:dyDescent="0.2">
      <c r="A80" s="2128" t="s">
        <v>1795</v>
      </c>
      <c r="B80" s="2129"/>
      <c r="C80" s="467">
        <v>0</v>
      </c>
      <c r="D80" s="467">
        <v>0</v>
      </c>
      <c r="E80" s="467">
        <v>0</v>
      </c>
      <c r="F80" s="467">
        <v>0</v>
      </c>
      <c r="G80" s="467">
        <v>0</v>
      </c>
      <c r="H80" s="467">
        <v>0</v>
      </c>
      <c r="I80" s="467">
        <v>0</v>
      </c>
      <c r="J80" s="467">
        <v>0</v>
      </c>
      <c r="K80" s="467">
        <v>0</v>
      </c>
      <c r="L80" s="347"/>
    </row>
    <row r="81" spans="1:12" ht="13.5" thickBot="1" x14ac:dyDescent="0.25">
      <c r="A81" s="2120" t="s">
        <v>1950</v>
      </c>
      <c r="B81" s="2121"/>
      <c r="C81" s="1685">
        <f>(SUM(C78:C80))</f>
        <v>4240812</v>
      </c>
      <c r="D81" s="1685">
        <f>SUM(D78:D80)</f>
        <v>199920</v>
      </c>
      <c r="E81" s="1685">
        <f t="shared" ref="E81:K81" si="10">SUM(E78:E80)</f>
        <v>120219</v>
      </c>
      <c r="F81" s="1685">
        <f t="shared" si="10"/>
        <v>488261</v>
      </c>
      <c r="G81" s="1685">
        <f t="shared" si="10"/>
        <v>411563</v>
      </c>
      <c r="H81" s="1685">
        <f t="shared" si="10"/>
        <v>0</v>
      </c>
      <c r="I81" s="1685">
        <f t="shared" si="10"/>
        <v>2566125</v>
      </c>
      <c r="J81" s="1685">
        <f t="shared" si="10"/>
        <v>134917</v>
      </c>
      <c r="K81" s="1685">
        <f t="shared" si="10"/>
        <v>181180</v>
      </c>
      <c r="L81" s="347"/>
    </row>
    <row r="82" spans="1:12" ht="0.75" customHeight="1" thickTop="1" thickBot="1" x14ac:dyDescent="0.25">
      <c r="A82" s="533" t="s">
        <v>343</v>
      </c>
      <c r="B82" s="534"/>
      <c r="C82" s="535">
        <f>(C81-C79)</f>
        <v>352102</v>
      </c>
      <c r="D82" s="535">
        <f t="shared" ref="D82:K82" si="11">(D81-D79)</f>
        <v>-2961</v>
      </c>
      <c r="E82" s="535">
        <f t="shared" si="11"/>
        <v>-106795</v>
      </c>
      <c r="F82" s="535">
        <f t="shared" si="11"/>
        <v>-194591</v>
      </c>
      <c r="G82" s="535">
        <f t="shared" si="11"/>
        <v>6909</v>
      </c>
      <c r="H82" s="535">
        <f t="shared" si="11"/>
        <v>0</v>
      </c>
      <c r="I82" s="535">
        <f t="shared" si="11"/>
        <v>99244</v>
      </c>
      <c r="J82" s="535">
        <f t="shared" si="11"/>
        <v>-89563</v>
      </c>
      <c r="K82" s="535">
        <f t="shared" si="11"/>
        <v>66159</v>
      </c>
    </row>
    <row r="83" spans="1:12" ht="14.25" hidden="1" thickTop="1" thickBot="1" x14ac:dyDescent="0.25">
      <c r="A83" s="536" t="s">
        <v>344</v>
      </c>
      <c r="B83" s="464"/>
      <c r="C83" s="537">
        <f>C82/C81</f>
        <v>8.3027024069918687E-2</v>
      </c>
      <c r="D83" s="537">
        <f t="shared" ref="D83:K83" si="12">D82/D81</f>
        <v>-1.4810924369747899E-2</v>
      </c>
      <c r="E83" s="537">
        <f t="shared" si="12"/>
        <v>-0.8883371180928139</v>
      </c>
      <c r="F83" s="537">
        <f t="shared" si="12"/>
        <v>-0.39853889620510341</v>
      </c>
      <c r="G83" s="537">
        <f t="shared" si="12"/>
        <v>1.6787223341262456E-2</v>
      </c>
      <c r="H83" s="537" t="e">
        <f t="shared" si="12"/>
        <v>#DIV/0!</v>
      </c>
      <c r="I83" s="537">
        <f t="shared" si="12"/>
        <v>3.8674655365580402E-2</v>
      </c>
      <c r="J83" s="537">
        <f t="shared" si="12"/>
        <v>-0.66383776692336771</v>
      </c>
      <c r="K83" s="537">
        <f t="shared" si="12"/>
        <v>0.36515619825587814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3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8" sqref="J8"/>
      <selection pane="bottomLeft" activeCell="G16" sqref="G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3474522</v>
      </c>
      <c r="D5" s="479">
        <v>638699</v>
      </c>
      <c r="E5" s="466">
        <v>0</v>
      </c>
      <c r="F5" s="545">
        <v>255480</v>
      </c>
      <c r="G5" s="466">
        <v>90473</v>
      </c>
      <c r="H5" s="466">
        <v>0</v>
      </c>
      <c r="I5" s="466">
        <v>63870</v>
      </c>
      <c r="J5" s="467">
        <v>294962</v>
      </c>
      <c r="K5" s="466">
        <v>63870</v>
      </c>
    </row>
    <row r="6" spans="1:12" ht="15" x14ac:dyDescent="0.2">
      <c r="A6" s="463" t="s">
        <v>1662</v>
      </c>
      <c r="B6" s="470">
        <v>1130</v>
      </c>
      <c r="C6" s="466">
        <v>63870</v>
      </c>
      <c r="D6" s="466">
        <v>0</v>
      </c>
      <c r="E6" s="474"/>
      <c r="F6" s="474"/>
      <c r="G6" s="468"/>
      <c r="H6" s="468"/>
      <c r="I6" s="468"/>
      <c r="J6" s="468"/>
      <c r="K6" s="468"/>
    </row>
    <row r="7" spans="1:12" x14ac:dyDescent="0.2">
      <c r="A7" s="463" t="s">
        <v>110</v>
      </c>
      <c r="B7" s="546">
        <v>1140</v>
      </c>
      <c r="C7" s="466">
        <v>51096</v>
      </c>
      <c r="D7" s="466">
        <v>0</v>
      </c>
      <c r="E7" s="468"/>
      <c r="F7" s="467">
        <v>0</v>
      </c>
      <c r="G7" s="467">
        <v>0</v>
      </c>
      <c r="H7" s="467">
        <v>0</v>
      </c>
      <c r="I7" s="468"/>
      <c r="J7" s="468"/>
      <c r="K7" s="468"/>
    </row>
    <row r="8" spans="1:12" x14ac:dyDescent="0.2">
      <c r="A8" s="463" t="s">
        <v>413</v>
      </c>
      <c r="B8" s="470">
        <v>1150</v>
      </c>
      <c r="C8" s="474"/>
      <c r="D8" s="474"/>
      <c r="E8" s="475"/>
      <c r="F8" s="475"/>
      <c r="G8" s="479">
        <v>137639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3589488</v>
      </c>
      <c r="D12" s="1704">
        <f t="shared" si="0"/>
        <v>638699</v>
      </c>
      <c r="E12" s="1704">
        <f t="shared" si="0"/>
        <v>0</v>
      </c>
      <c r="F12" s="1704">
        <f t="shared" si="0"/>
        <v>255480</v>
      </c>
      <c r="G12" s="1704">
        <f t="shared" si="0"/>
        <v>228112</v>
      </c>
      <c r="H12" s="1704">
        <f t="shared" si="0"/>
        <v>0</v>
      </c>
      <c r="I12" s="1704">
        <f t="shared" si="0"/>
        <v>63870</v>
      </c>
      <c r="J12" s="1704">
        <f t="shared" si="0"/>
        <v>294962</v>
      </c>
      <c r="K12" s="1685">
        <f t="shared" si="0"/>
        <v>63870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3543</v>
      </c>
      <c r="D14" s="466">
        <v>630</v>
      </c>
      <c r="E14" s="466">
        <v>0</v>
      </c>
      <c r="F14" s="466">
        <v>252</v>
      </c>
      <c r="G14" s="466">
        <v>225</v>
      </c>
      <c r="H14" s="466">
        <v>0</v>
      </c>
      <c r="I14" s="466">
        <v>63</v>
      </c>
      <c r="J14" s="467">
        <v>291</v>
      </c>
      <c r="K14" s="466">
        <v>63</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2390450</v>
      </c>
      <c r="D16" s="466">
        <v>400000</v>
      </c>
      <c r="E16" s="466">
        <v>0</v>
      </c>
      <c r="F16" s="466">
        <v>0</v>
      </c>
      <c r="G16" s="466">
        <v>110400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2393993</v>
      </c>
      <c r="D18" s="1707">
        <f t="shared" ref="D18:K18" si="1">SUM(D14:D17)</f>
        <v>400630</v>
      </c>
      <c r="E18" s="1707">
        <f t="shared" si="1"/>
        <v>0</v>
      </c>
      <c r="F18" s="1707">
        <f t="shared" si="1"/>
        <v>252</v>
      </c>
      <c r="G18" s="1707">
        <f t="shared" si="1"/>
        <v>110625</v>
      </c>
      <c r="H18" s="1707">
        <f t="shared" si="1"/>
        <v>0</v>
      </c>
      <c r="I18" s="1707">
        <f t="shared" si="1"/>
        <v>63</v>
      </c>
      <c r="J18" s="1707">
        <f t="shared" si="1"/>
        <v>291</v>
      </c>
      <c r="K18" s="1708">
        <f t="shared" si="1"/>
        <v>63</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348400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36459</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384859</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41313</v>
      </c>
      <c r="D65" s="466">
        <v>2003</v>
      </c>
      <c r="E65" s="466">
        <v>6280</v>
      </c>
      <c r="F65" s="467">
        <v>5028</v>
      </c>
      <c r="G65" s="466">
        <v>2409</v>
      </c>
      <c r="H65" s="466">
        <v>0</v>
      </c>
      <c r="I65" s="466">
        <v>35311</v>
      </c>
      <c r="J65" s="467">
        <v>1033</v>
      </c>
      <c r="K65" s="466">
        <v>2226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41313</v>
      </c>
      <c r="D67" s="1685">
        <f t="shared" ref="D67:K67" si="2">SUM(D65:D66)</f>
        <v>2003</v>
      </c>
      <c r="E67" s="1685">
        <f t="shared" si="2"/>
        <v>6280</v>
      </c>
      <c r="F67" s="1685">
        <f t="shared" si="2"/>
        <v>5028</v>
      </c>
      <c r="G67" s="1685">
        <f t="shared" si="2"/>
        <v>2409</v>
      </c>
      <c r="H67" s="1685">
        <f t="shared" si="2"/>
        <v>0</v>
      </c>
      <c r="I67" s="1685">
        <f t="shared" si="2"/>
        <v>35311</v>
      </c>
      <c r="J67" s="1685">
        <f t="shared" si="2"/>
        <v>1033</v>
      </c>
      <c r="K67" s="1685">
        <f t="shared" si="2"/>
        <v>2226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117292</v>
      </c>
      <c r="D69" s="468"/>
      <c r="E69" s="468"/>
      <c r="F69" s="468"/>
      <c r="G69" s="468"/>
      <c r="H69" s="468"/>
      <c r="I69" s="468"/>
      <c r="J69" s="468"/>
      <c r="K69" s="468"/>
    </row>
    <row r="70" spans="1:11" ht="12.75" customHeight="1" x14ac:dyDescent="0.2">
      <c r="A70" s="463" t="s">
        <v>997</v>
      </c>
      <c r="B70" s="470">
        <v>1612</v>
      </c>
      <c r="C70" s="548">
        <v>4373</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3816</v>
      </c>
      <c r="D72" s="468"/>
      <c r="E72" s="468"/>
      <c r="F72" s="468"/>
      <c r="G72" s="468"/>
      <c r="H72" s="468"/>
      <c r="I72" s="468"/>
      <c r="J72" s="468"/>
      <c r="K72" s="468"/>
    </row>
    <row r="73" spans="1:11" ht="12.75" customHeight="1" x14ac:dyDescent="0.2">
      <c r="A73" s="463" t="s">
        <v>998</v>
      </c>
      <c r="B73" s="470">
        <v>1620</v>
      </c>
      <c r="C73" s="548">
        <v>4075</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129556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18454</v>
      </c>
      <c r="D77" s="466">
        <v>0</v>
      </c>
      <c r="E77" s="468"/>
      <c r="F77" s="468"/>
      <c r="G77" s="468"/>
      <c r="H77" s="468"/>
      <c r="I77" s="468"/>
      <c r="J77" s="468"/>
      <c r="K77" s="468"/>
    </row>
    <row r="78" spans="1:11" ht="12.75" customHeight="1" x14ac:dyDescent="0.2">
      <c r="A78" s="463" t="s">
        <v>76</v>
      </c>
      <c r="B78" s="470">
        <v>1719</v>
      </c>
      <c r="C78" s="548">
        <v>3698</v>
      </c>
      <c r="D78" s="466">
        <v>0</v>
      </c>
      <c r="E78" s="468"/>
      <c r="F78" s="468"/>
      <c r="G78" s="468"/>
      <c r="H78" s="468"/>
      <c r="I78" s="468"/>
      <c r="J78" s="468"/>
      <c r="K78" s="468"/>
    </row>
    <row r="79" spans="1:11" ht="12.75" customHeight="1" x14ac:dyDescent="0.2">
      <c r="A79" s="463" t="s">
        <v>550</v>
      </c>
      <c r="B79" s="470">
        <v>1720</v>
      </c>
      <c r="C79" s="548">
        <v>14470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5507</v>
      </c>
      <c r="D81" s="466">
        <v>0</v>
      </c>
      <c r="E81" s="468"/>
      <c r="F81" s="468"/>
      <c r="G81" s="468"/>
      <c r="H81" s="468"/>
      <c r="I81" s="468"/>
      <c r="J81" s="468"/>
      <c r="K81" s="468"/>
    </row>
    <row r="82" spans="1:11" ht="12.75" customHeight="1" thickBot="1" x14ac:dyDescent="0.25">
      <c r="A82" s="1705" t="s">
        <v>241</v>
      </c>
      <c r="B82" s="1706"/>
      <c r="C82" s="1704">
        <f>SUM(C77:C81)</f>
        <v>42129</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37209</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37209</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31651</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9501</v>
      </c>
      <c r="D98" s="466">
        <v>0</v>
      </c>
      <c r="E98" s="509"/>
      <c r="F98" s="466">
        <v>0</v>
      </c>
      <c r="G98" s="509"/>
      <c r="H98" s="509"/>
      <c r="I98" s="507"/>
      <c r="J98" s="509"/>
      <c r="K98" s="509"/>
    </row>
    <row r="99" spans="1:12" ht="12.75" customHeight="1" x14ac:dyDescent="0.2">
      <c r="A99" s="463" t="s">
        <v>821</v>
      </c>
      <c r="B99" s="470">
        <v>1950</v>
      </c>
      <c r="C99" s="486">
        <v>1672</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2650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42292</v>
      </c>
      <c r="D107" s="466">
        <v>9183</v>
      </c>
      <c r="E107" s="466">
        <v>0</v>
      </c>
      <c r="F107" s="466">
        <v>4994</v>
      </c>
      <c r="G107" s="466">
        <v>0</v>
      </c>
      <c r="H107" s="466">
        <v>0</v>
      </c>
      <c r="I107" s="466">
        <v>0</v>
      </c>
      <c r="J107" s="467">
        <v>0</v>
      </c>
      <c r="K107" s="466">
        <v>0</v>
      </c>
    </row>
    <row r="108" spans="1:12" ht="12.75" customHeight="1" thickBot="1" x14ac:dyDescent="0.25">
      <c r="A108" s="1705" t="s">
        <v>487</v>
      </c>
      <c r="B108" s="1709"/>
      <c r="C108" s="1704">
        <f>SUM(C95:C107)</f>
        <v>87766</v>
      </c>
      <c r="D108" s="1704">
        <f t="shared" ref="D108:K108" si="3">SUM(D95:D107)</f>
        <v>9183</v>
      </c>
      <c r="E108" s="1704">
        <f t="shared" si="3"/>
        <v>0</v>
      </c>
      <c r="F108" s="1704">
        <f t="shared" si="3"/>
        <v>4994</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6706313</v>
      </c>
      <c r="D109" s="1712">
        <f t="shared" si="4"/>
        <v>1050515</v>
      </c>
      <c r="E109" s="1712">
        <f t="shared" si="4"/>
        <v>6280</v>
      </c>
      <c r="F109" s="1712">
        <f t="shared" si="4"/>
        <v>265754</v>
      </c>
      <c r="G109" s="1712">
        <f t="shared" si="4"/>
        <v>341146</v>
      </c>
      <c r="H109" s="1712">
        <f t="shared" si="4"/>
        <v>0</v>
      </c>
      <c r="I109" s="1712">
        <f t="shared" si="4"/>
        <v>99244</v>
      </c>
      <c r="J109" s="1712">
        <f t="shared" si="4"/>
        <v>296286</v>
      </c>
      <c r="K109" s="1699">
        <f t="shared" si="4"/>
        <v>66159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880212</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880212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104633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104633</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20950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27698</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48648</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2938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12793</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334392</v>
      </c>
      <c r="G152" s="467">
        <v>0</v>
      </c>
      <c r="H152" s="468"/>
      <c r="I152" s="468"/>
      <c r="J152" s="468"/>
      <c r="K152" s="468"/>
    </row>
    <row r="153" spans="1:11" ht="12.75" customHeight="1" x14ac:dyDescent="0.2">
      <c r="A153" s="463" t="s">
        <v>1057</v>
      </c>
      <c r="B153" s="559">
        <v>3510</v>
      </c>
      <c r="C153" s="548">
        <v>0</v>
      </c>
      <c r="D153" s="466">
        <v>0</v>
      </c>
      <c r="E153" s="558"/>
      <c r="F153" s="466">
        <v>204871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539263</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299582</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2192</v>
      </c>
      <c r="D168" s="577">
        <v>0</v>
      </c>
      <c r="E168" s="577">
        <v>0</v>
      </c>
      <c r="F168" s="577">
        <v>0</v>
      </c>
      <c r="G168" s="578">
        <v>0</v>
      </c>
      <c r="H168" s="579">
        <v>0</v>
      </c>
      <c r="I168" s="578">
        <v>0</v>
      </c>
      <c r="J168" s="578">
        <v>0</v>
      </c>
      <c r="K168" s="579">
        <v>0</v>
      </c>
    </row>
    <row r="169" spans="1:11" ht="12.75" customHeight="1" thickTop="1" thickBot="1" x14ac:dyDescent="0.25">
      <c r="A169" s="2144" t="s">
        <v>398</v>
      </c>
      <c r="B169" s="2145"/>
      <c r="C169" s="1719">
        <f t="shared" ref="C169:K169" si="6">SUM(C132,C141,C145,C146:C150,C155,C156:C167,C168)</f>
        <v>470786</v>
      </c>
      <c r="D169" s="1719">
        <f t="shared" si="6"/>
        <v>0</v>
      </c>
      <c r="E169" s="1719">
        <f t="shared" si="6"/>
        <v>0</v>
      </c>
      <c r="F169" s="1719">
        <f t="shared" si="6"/>
        <v>539263</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1350998</v>
      </c>
      <c r="D170" s="1712">
        <f t="shared" si="7"/>
        <v>0</v>
      </c>
      <c r="E170" s="1712">
        <f t="shared" si="7"/>
        <v>0</v>
      </c>
      <c r="F170" s="1712">
        <f t="shared" si="7"/>
        <v>539263</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6" t="s">
        <v>1492</v>
      </c>
      <c r="B172" s="214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50" t="s">
        <v>1665</v>
      </c>
      <c r="B175" s="2151"/>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4" t="s">
        <v>1664</v>
      </c>
      <c r="B176" s="215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52" t="s">
        <v>785</v>
      </c>
      <c r="B181" s="2153"/>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8" t="s">
        <v>1803</v>
      </c>
      <c r="B182" s="2149"/>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120111</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34702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154813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110309</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110309</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105094</v>
      </c>
      <c r="D213" s="466">
        <v>0</v>
      </c>
      <c r="E213" s="468"/>
      <c r="F213" s="466">
        <v>0</v>
      </c>
      <c r="G213" s="466">
        <v>0</v>
      </c>
      <c r="H213" s="468"/>
      <c r="I213" s="468"/>
      <c r="J213" s="468"/>
      <c r="K213" s="468"/>
    </row>
    <row r="214" spans="1:11" ht="12.75" customHeight="1" x14ac:dyDescent="0.2">
      <c r="A214" s="463" t="s">
        <v>1054</v>
      </c>
      <c r="B214" s="470">
        <v>4625</v>
      </c>
      <c r="C214" s="548">
        <v>127266</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232360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8590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8590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6658</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23078</v>
      </c>
      <c r="D263" s="573">
        <v>0</v>
      </c>
      <c r="E263" s="468"/>
      <c r="F263" s="573">
        <v>0</v>
      </c>
      <c r="G263" s="573">
        <v>0</v>
      </c>
      <c r="H263" s="468"/>
      <c r="I263" s="468"/>
      <c r="J263" s="468"/>
      <c r="K263" s="468"/>
    </row>
    <row r="264" spans="1:11" ht="12.75" customHeight="1" thickTop="1" thickBot="1" x14ac:dyDescent="0.25">
      <c r="A264" s="463" t="s">
        <v>377</v>
      </c>
      <c r="B264" s="470">
        <v>4992</v>
      </c>
      <c r="C264" s="572">
        <v>21755</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8405</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565968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565968</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8623279</v>
      </c>
      <c r="D268" s="1712">
        <f t="shared" si="12"/>
        <v>1050515</v>
      </c>
      <c r="E268" s="1712">
        <f t="shared" si="12"/>
        <v>6280</v>
      </c>
      <c r="F268" s="1712">
        <f t="shared" si="12"/>
        <v>805017</v>
      </c>
      <c r="G268" s="1712">
        <f t="shared" si="12"/>
        <v>341146</v>
      </c>
      <c r="H268" s="1712">
        <f t="shared" si="12"/>
        <v>0</v>
      </c>
      <c r="I268" s="1712">
        <f t="shared" si="12"/>
        <v>99244</v>
      </c>
      <c r="J268" s="1712">
        <f t="shared" si="12"/>
        <v>296286</v>
      </c>
      <c r="K268" s="1699">
        <f t="shared" si="12"/>
        <v>66159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8" sqref="J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4" t="s">
        <v>297</v>
      </c>
      <c r="B3" s="2165"/>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2469461</v>
      </c>
      <c r="D5" s="466">
        <v>643906</v>
      </c>
      <c r="E5" s="466">
        <v>97167</v>
      </c>
      <c r="F5" s="466">
        <v>236507</v>
      </c>
      <c r="G5" s="466">
        <v>0</v>
      </c>
      <c r="H5" s="466">
        <v>1293</v>
      </c>
      <c r="I5" s="467">
        <v>0</v>
      </c>
      <c r="J5" s="467">
        <v>0</v>
      </c>
      <c r="K5" s="1668">
        <f>SUM(C5:J5)</f>
        <v>3448334</v>
      </c>
      <c r="L5" s="471">
        <v>3910186</v>
      </c>
    </row>
    <row r="6" spans="1:14" x14ac:dyDescent="0.2">
      <c r="A6" s="1501" t="s">
        <v>1433</v>
      </c>
      <c r="B6" s="611" t="s">
        <v>1431</v>
      </c>
      <c r="C6" s="475"/>
      <c r="D6" s="475"/>
      <c r="E6" s="466">
        <v>0</v>
      </c>
      <c r="F6" s="475"/>
      <c r="G6" s="475"/>
      <c r="H6" s="475"/>
      <c r="I6" s="475"/>
      <c r="J6" s="475"/>
      <c r="K6" s="1668">
        <f>SUM(C6,E6)</f>
        <v>0</v>
      </c>
      <c r="L6" s="471">
        <v>2750</v>
      </c>
    </row>
    <row r="7" spans="1:14" x14ac:dyDescent="0.2">
      <c r="A7" s="1501" t="s">
        <v>163</v>
      </c>
      <c r="B7" s="611" t="s">
        <v>967</v>
      </c>
      <c r="C7" s="467">
        <v>134083</v>
      </c>
      <c r="D7" s="467">
        <v>25007</v>
      </c>
      <c r="E7" s="467">
        <v>659</v>
      </c>
      <c r="F7" s="467">
        <v>6929</v>
      </c>
      <c r="G7" s="467">
        <v>0</v>
      </c>
      <c r="H7" s="467">
        <v>0</v>
      </c>
      <c r="I7" s="467">
        <v>0</v>
      </c>
      <c r="J7" s="467">
        <v>0</v>
      </c>
      <c r="K7" s="1668">
        <f t="shared" ref="K7:K32" si="0">SUM(C7:J7)</f>
        <v>166678</v>
      </c>
      <c r="L7" s="471">
        <v>180250</v>
      </c>
    </row>
    <row r="8" spans="1:14" x14ac:dyDescent="0.2">
      <c r="A8" s="1501" t="s">
        <v>164</v>
      </c>
      <c r="B8" s="611">
        <v>1200</v>
      </c>
      <c r="C8" s="466">
        <v>869788</v>
      </c>
      <c r="D8" s="466">
        <v>206446</v>
      </c>
      <c r="E8" s="466">
        <v>91510</v>
      </c>
      <c r="F8" s="466">
        <v>21155</v>
      </c>
      <c r="G8" s="466">
        <v>0</v>
      </c>
      <c r="H8" s="466">
        <v>0</v>
      </c>
      <c r="I8" s="467">
        <v>0</v>
      </c>
      <c r="J8" s="467">
        <v>0</v>
      </c>
      <c r="K8" s="1668">
        <f t="shared" si="0"/>
        <v>1188899</v>
      </c>
      <c r="L8" s="471">
        <v>1465950</v>
      </c>
    </row>
    <row r="9" spans="1:14" x14ac:dyDescent="0.2">
      <c r="A9" s="1501" t="s">
        <v>721</v>
      </c>
      <c r="B9" s="611" t="s">
        <v>968</v>
      </c>
      <c r="C9" s="467">
        <v>72318</v>
      </c>
      <c r="D9" s="467">
        <v>19371</v>
      </c>
      <c r="E9" s="467">
        <v>27</v>
      </c>
      <c r="F9" s="467">
        <v>376</v>
      </c>
      <c r="G9" s="467">
        <v>0</v>
      </c>
      <c r="H9" s="467">
        <v>0</v>
      </c>
      <c r="I9" s="467">
        <v>0</v>
      </c>
      <c r="J9" s="467">
        <v>0</v>
      </c>
      <c r="K9" s="1668">
        <f t="shared" si="0"/>
        <v>92092</v>
      </c>
      <c r="L9" s="471">
        <v>94800</v>
      </c>
    </row>
    <row r="10" spans="1:14" x14ac:dyDescent="0.2">
      <c r="A10" s="1501" t="s">
        <v>722</v>
      </c>
      <c r="B10" s="611">
        <v>1250</v>
      </c>
      <c r="C10" s="466">
        <v>81371</v>
      </c>
      <c r="D10" s="466">
        <v>28593</v>
      </c>
      <c r="E10" s="466">
        <v>7971</v>
      </c>
      <c r="F10" s="466">
        <v>32895</v>
      </c>
      <c r="G10" s="466">
        <v>0</v>
      </c>
      <c r="H10" s="466">
        <v>0</v>
      </c>
      <c r="I10" s="467">
        <v>0</v>
      </c>
      <c r="J10" s="467">
        <v>0</v>
      </c>
      <c r="K10" s="1668">
        <f t="shared" si="0"/>
        <v>150830</v>
      </c>
      <c r="L10" s="471">
        <v>148786</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150383</v>
      </c>
      <c r="D13" s="466">
        <v>39237</v>
      </c>
      <c r="E13" s="466">
        <v>1094</v>
      </c>
      <c r="F13" s="466">
        <v>10378</v>
      </c>
      <c r="G13" s="466">
        <v>0</v>
      </c>
      <c r="H13" s="466">
        <v>0</v>
      </c>
      <c r="I13" s="467">
        <v>0</v>
      </c>
      <c r="J13" s="467">
        <v>0</v>
      </c>
      <c r="K13" s="1668">
        <f t="shared" si="0"/>
        <v>201092</v>
      </c>
      <c r="L13" s="471">
        <v>204689</v>
      </c>
    </row>
    <row r="14" spans="1:14" x14ac:dyDescent="0.2">
      <c r="A14" s="1501" t="s">
        <v>963</v>
      </c>
      <c r="B14" s="611">
        <v>1500</v>
      </c>
      <c r="C14" s="466">
        <v>149219</v>
      </c>
      <c r="D14" s="466">
        <v>13123</v>
      </c>
      <c r="E14" s="466">
        <v>26042</v>
      </c>
      <c r="F14" s="466">
        <v>29800</v>
      </c>
      <c r="G14" s="466">
        <v>4200</v>
      </c>
      <c r="H14" s="466">
        <v>14843</v>
      </c>
      <c r="I14" s="467">
        <v>0</v>
      </c>
      <c r="J14" s="467">
        <v>0</v>
      </c>
      <c r="K14" s="1668">
        <f t="shared" si="0"/>
        <v>237227</v>
      </c>
      <c r="L14" s="471">
        <v>253800</v>
      </c>
    </row>
    <row r="15" spans="1:14" x14ac:dyDescent="0.2">
      <c r="A15" s="1501" t="s">
        <v>964</v>
      </c>
      <c r="B15" s="611">
        <v>1600</v>
      </c>
      <c r="C15" s="467">
        <v>9450</v>
      </c>
      <c r="D15" s="466">
        <v>518</v>
      </c>
      <c r="E15" s="466">
        <v>0</v>
      </c>
      <c r="F15" s="466">
        <v>8</v>
      </c>
      <c r="G15" s="466">
        <v>0</v>
      </c>
      <c r="H15" s="466">
        <v>0</v>
      </c>
      <c r="I15" s="467">
        <v>0</v>
      </c>
      <c r="J15" s="467">
        <v>0</v>
      </c>
      <c r="K15" s="1668">
        <f t="shared" si="0"/>
        <v>9976</v>
      </c>
      <c r="L15" s="471">
        <v>21450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18806</v>
      </c>
      <c r="D17" s="467">
        <v>2840</v>
      </c>
      <c r="E17" s="467">
        <v>4493</v>
      </c>
      <c r="F17" s="467">
        <v>847</v>
      </c>
      <c r="G17" s="467">
        <v>0</v>
      </c>
      <c r="H17" s="467">
        <v>0</v>
      </c>
      <c r="I17" s="467">
        <v>0</v>
      </c>
      <c r="J17" s="467">
        <v>0</v>
      </c>
      <c r="K17" s="1668">
        <f t="shared" si="0"/>
        <v>26986</v>
      </c>
      <c r="L17" s="471">
        <v>37800</v>
      </c>
    </row>
    <row r="18" spans="1:12" x14ac:dyDescent="0.2">
      <c r="A18" s="1501" t="s">
        <v>1087</v>
      </c>
      <c r="B18" s="611">
        <v>1800</v>
      </c>
      <c r="C18" s="467">
        <v>500</v>
      </c>
      <c r="D18" s="467">
        <v>0</v>
      </c>
      <c r="E18" s="467">
        <v>0</v>
      </c>
      <c r="F18" s="466">
        <v>0</v>
      </c>
      <c r="G18" s="466">
        <v>0</v>
      </c>
      <c r="H18" s="466">
        <v>0</v>
      </c>
      <c r="I18" s="467">
        <v>0</v>
      </c>
      <c r="J18" s="467">
        <v>0</v>
      </c>
      <c r="K18" s="1668">
        <f t="shared" si="0"/>
        <v>500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348274</v>
      </c>
      <c r="I22" s="613"/>
      <c r="J22" s="475"/>
      <c r="K22" s="1668">
        <f t="shared" si="0"/>
        <v>348274</v>
      </c>
      <c r="L22" s="471">
        <v>400000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3955379</v>
      </c>
      <c r="D33" s="1667">
        <f t="shared" ref="D33:L33" si="1">SUM(D5:D32)</f>
        <v>979041</v>
      </c>
      <c r="E33" s="1667">
        <f t="shared" si="1"/>
        <v>228963</v>
      </c>
      <c r="F33" s="1667">
        <f t="shared" si="1"/>
        <v>338895</v>
      </c>
      <c r="G33" s="1667">
        <f t="shared" si="1"/>
        <v>4200</v>
      </c>
      <c r="H33" s="1667">
        <f t="shared" si="1"/>
        <v>364410</v>
      </c>
      <c r="I33" s="1667">
        <f t="shared" si="1"/>
        <v>0</v>
      </c>
      <c r="J33" s="1667">
        <f t="shared" si="1"/>
        <v>0</v>
      </c>
      <c r="K33" s="1667">
        <f t="shared" si="1"/>
        <v>5870888</v>
      </c>
      <c r="L33" s="1667">
        <f t="shared" si="1"/>
        <v>6720461</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115330</v>
      </c>
      <c r="D36" s="479">
        <v>32716</v>
      </c>
      <c r="E36" s="479">
        <v>427</v>
      </c>
      <c r="F36" s="479">
        <v>1702</v>
      </c>
      <c r="G36" s="479">
        <v>0</v>
      </c>
      <c r="H36" s="479">
        <v>0</v>
      </c>
      <c r="I36" s="467">
        <v>0</v>
      </c>
      <c r="J36" s="467">
        <v>0</v>
      </c>
      <c r="K36" s="1668">
        <f t="shared" ref="K36:K41" si="2">SUM(C36:J36)</f>
        <v>150175</v>
      </c>
      <c r="L36" s="466">
        <v>154870</v>
      </c>
    </row>
    <row r="37" spans="1:14" x14ac:dyDescent="0.2">
      <c r="A37" s="1501" t="s">
        <v>1090</v>
      </c>
      <c r="B37" s="611">
        <v>2120</v>
      </c>
      <c r="C37" s="466">
        <v>44415</v>
      </c>
      <c r="D37" s="466">
        <v>12342</v>
      </c>
      <c r="E37" s="466">
        <v>87</v>
      </c>
      <c r="F37" s="466">
        <v>372</v>
      </c>
      <c r="G37" s="466">
        <v>0</v>
      </c>
      <c r="H37" s="466">
        <v>0</v>
      </c>
      <c r="I37" s="467">
        <v>0</v>
      </c>
      <c r="J37" s="467">
        <v>0</v>
      </c>
      <c r="K37" s="1668">
        <f t="shared" si="2"/>
        <v>57216</v>
      </c>
      <c r="L37" s="466">
        <v>64100</v>
      </c>
    </row>
    <row r="38" spans="1:14" x14ac:dyDescent="0.2">
      <c r="A38" s="1501" t="s">
        <v>198</v>
      </c>
      <c r="B38" s="611">
        <v>2130</v>
      </c>
      <c r="C38" s="466">
        <v>43839</v>
      </c>
      <c r="D38" s="466">
        <v>6442</v>
      </c>
      <c r="E38" s="466">
        <v>657</v>
      </c>
      <c r="F38" s="466">
        <v>987</v>
      </c>
      <c r="G38" s="466">
        <v>0</v>
      </c>
      <c r="H38" s="466">
        <v>0</v>
      </c>
      <c r="I38" s="467">
        <v>0</v>
      </c>
      <c r="J38" s="467">
        <v>0</v>
      </c>
      <c r="K38" s="1668">
        <f t="shared" si="2"/>
        <v>51925</v>
      </c>
      <c r="L38" s="466">
        <v>57550</v>
      </c>
    </row>
    <row r="39" spans="1:14" x14ac:dyDescent="0.2">
      <c r="A39" s="1501" t="s">
        <v>199</v>
      </c>
      <c r="B39" s="611">
        <v>2140</v>
      </c>
      <c r="C39" s="466">
        <v>16440</v>
      </c>
      <c r="D39" s="466">
        <v>4616</v>
      </c>
      <c r="E39" s="466">
        <v>11489</v>
      </c>
      <c r="F39" s="466">
        <v>775</v>
      </c>
      <c r="G39" s="466">
        <v>0</v>
      </c>
      <c r="H39" s="466">
        <v>410</v>
      </c>
      <c r="I39" s="467">
        <v>0</v>
      </c>
      <c r="J39" s="467">
        <v>0</v>
      </c>
      <c r="K39" s="1668">
        <f t="shared" si="2"/>
        <v>33730</v>
      </c>
      <c r="L39" s="466">
        <v>26150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9419</v>
      </c>
      <c r="F41" s="466">
        <v>0</v>
      </c>
      <c r="G41" s="466">
        <v>0</v>
      </c>
      <c r="H41" s="466">
        <v>0</v>
      </c>
      <c r="I41" s="467">
        <v>0</v>
      </c>
      <c r="J41" s="467">
        <v>0</v>
      </c>
      <c r="K41" s="1668">
        <f t="shared" si="2"/>
        <v>9419</v>
      </c>
      <c r="L41" s="466">
        <v>10500</v>
      </c>
    </row>
    <row r="42" spans="1:14" ht="12.75" customHeight="1" thickBot="1" x14ac:dyDescent="0.25">
      <c r="A42" s="1665" t="s">
        <v>560</v>
      </c>
      <c r="B42" s="1666" t="s">
        <v>716</v>
      </c>
      <c r="C42" s="1667">
        <f>SUM(C36:C41)</f>
        <v>220024</v>
      </c>
      <c r="D42" s="1667">
        <f t="shared" ref="D42:L42" si="3">SUM(D36:D41)</f>
        <v>56116</v>
      </c>
      <c r="E42" s="1667">
        <f t="shared" si="3"/>
        <v>22079</v>
      </c>
      <c r="F42" s="1667">
        <f t="shared" si="3"/>
        <v>3836</v>
      </c>
      <c r="G42" s="1667">
        <f t="shared" si="3"/>
        <v>0</v>
      </c>
      <c r="H42" s="1667">
        <f t="shared" si="3"/>
        <v>410</v>
      </c>
      <c r="I42" s="1667">
        <f t="shared" si="3"/>
        <v>0</v>
      </c>
      <c r="J42" s="1667">
        <f t="shared" si="3"/>
        <v>0</v>
      </c>
      <c r="K42" s="1667">
        <f t="shared" si="3"/>
        <v>302465</v>
      </c>
      <c r="L42" s="1667">
        <f t="shared" si="3"/>
        <v>313170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38294</v>
      </c>
      <c r="D44" s="479">
        <v>7884</v>
      </c>
      <c r="E44" s="479">
        <v>48238</v>
      </c>
      <c r="F44" s="479">
        <v>8044</v>
      </c>
      <c r="G44" s="479">
        <v>0</v>
      </c>
      <c r="H44" s="479">
        <v>0</v>
      </c>
      <c r="I44" s="467">
        <v>0</v>
      </c>
      <c r="J44" s="467">
        <v>0</v>
      </c>
      <c r="K44" s="1669">
        <f>SUM(C44:J44)</f>
        <v>102460</v>
      </c>
      <c r="L44" s="479">
        <v>87300</v>
      </c>
    </row>
    <row r="45" spans="1:14" x14ac:dyDescent="0.2">
      <c r="A45" s="1501" t="s">
        <v>815</v>
      </c>
      <c r="B45" s="611">
        <v>2220</v>
      </c>
      <c r="C45" s="466">
        <v>221566</v>
      </c>
      <c r="D45" s="466">
        <v>22144</v>
      </c>
      <c r="E45" s="466">
        <v>3320</v>
      </c>
      <c r="F45" s="466">
        <v>13080</v>
      </c>
      <c r="G45" s="466">
        <v>0</v>
      </c>
      <c r="H45" s="466">
        <v>0</v>
      </c>
      <c r="I45" s="467">
        <v>0</v>
      </c>
      <c r="J45" s="467">
        <v>0</v>
      </c>
      <c r="K45" s="1669">
        <f>SUM(C45:J45)</f>
        <v>260110</v>
      </c>
      <c r="L45" s="466">
        <v>276015</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259860</v>
      </c>
      <c r="D47" s="1667">
        <f t="shared" ref="D47:K47" si="4">SUM(D44:D46)</f>
        <v>30028</v>
      </c>
      <c r="E47" s="1667">
        <f t="shared" si="4"/>
        <v>51558</v>
      </c>
      <c r="F47" s="1667">
        <f t="shared" si="4"/>
        <v>21124</v>
      </c>
      <c r="G47" s="1667">
        <f t="shared" si="4"/>
        <v>0</v>
      </c>
      <c r="H47" s="1667">
        <f t="shared" si="4"/>
        <v>0</v>
      </c>
      <c r="I47" s="1667">
        <f t="shared" si="4"/>
        <v>0</v>
      </c>
      <c r="J47" s="1667">
        <f t="shared" si="4"/>
        <v>0</v>
      </c>
      <c r="K47" s="1667">
        <f t="shared" si="4"/>
        <v>362570</v>
      </c>
      <c r="L47" s="1667">
        <f>SUM(L44:L46)</f>
        <v>363315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5966</v>
      </c>
      <c r="D49" s="479">
        <v>0</v>
      </c>
      <c r="E49" s="479">
        <v>50127</v>
      </c>
      <c r="F49" s="479">
        <v>24872</v>
      </c>
      <c r="G49" s="479">
        <v>0</v>
      </c>
      <c r="H49" s="479">
        <v>25820</v>
      </c>
      <c r="I49" s="467">
        <v>0</v>
      </c>
      <c r="J49" s="467">
        <v>0</v>
      </c>
      <c r="K49" s="1669">
        <f>SUM(C49:J49)</f>
        <v>106785</v>
      </c>
      <c r="L49" s="479">
        <v>122995</v>
      </c>
    </row>
    <row r="50" spans="1:14" x14ac:dyDescent="0.2">
      <c r="A50" s="1501" t="s">
        <v>818</v>
      </c>
      <c r="B50" s="611">
        <v>2320</v>
      </c>
      <c r="C50" s="467">
        <v>94317</v>
      </c>
      <c r="D50" s="466">
        <v>38813</v>
      </c>
      <c r="E50" s="466">
        <v>16278</v>
      </c>
      <c r="F50" s="466">
        <v>4808</v>
      </c>
      <c r="G50" s="466">
        <v>4000</v>
      </c>
      <c r="H50" s="466">
        <v>6218</v>
      </c>
      <c r="I50" s="467">
        <v>0</v>
      </c>
      <c r="J50" s="467">
        <v>0</v>
      </c>
      <c r="K50" s="1669">
        <f>SUM(C50:J50)</f>
        <v>164434</v>
      </c>
      <c r="L50" s="466">
        <v>158500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100283</v>
      </c>
      <c r="D53" s="1667">
        <f t="shared" ref="D53:L53" si="5">SUM(D49:D52)</f>
        <v>38813</v>
      </c>
      <c r="E53" s="1667">
        <f t="shared" si="5"/>
        <v>66405</v>
      </c>
      <c r="F53" s="1667">
        <f t="shared" si="5"/>
        <v>29680</v>
      </c>
      <c r="G53" s="1667">
        <f t="shared" si="5"/>
        <v>4000</v>
      </c>
      <c r="H53" s="1667">
        <f t="shared" si="5"/>
        <v>32038</v>
      </c>
      <c r="I53" s="1667">
        <f t="shared" si="5"/>
        <v>0</v>
      </c>
      <c r="J53" s="1667">
        <f t="shared" si="5"/>
        <v>0</v>
      </c>
      <c r="K53" s="1667">
        <f t="shared" si="5"/>
        <v>271219</v>
      </c>
      <c r="L53" s="1667">
        <f t="shared" si="5"/>
        <v>281495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520347</v>
      </c>
      <c r="D55" s="479">
        <v>156530</v>
      </c>
      <c r="E55" s="479">
        <v>4431</v>
      </c>
      <c r="F55" s="479">
        <v>11509</v>
      </c>
      <c r="G55" s="479">
        <v>0</v>
      </c>
      <c r="H55" s="479">
        <v>2986</v>
      </c>
      <c r="I55" s="467">
        <v>0</v>
      </c>
      <c r="J55" s="467">
        <v>0</v>
      </c>
      <c r="K55" s="1669">
        <f>SUM(C55:J55)</f>
        <v>695803</v>
      </c>
      <c r="L55" s="479">
        <v>733920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520347</v>
      </c>
      <c r="D57" s="1671">
        <f t="shared" ref="D57:K57" si="6">SUM(D55:D56)</f>
        <v>156530</v>
      </c>
      <c r="E57" s="1671">
        <f t="shared" si="6"/>
        <v>4431</v>
      </c>
      <c r="F57" s="1671">
        <f t="shared" si="6"/>
        <v>11509</v>
      </c>
      <c r="G57" s="1671">
        <f t="shared" si="6"/>
        <v>0</v>
      </c>
      <c r="H57" s="1671">
        <f t="shared" si="6"/>
        <v>2986</v>
      </c>
      <c r="I57" s="1671">
        <f t="shared" si="6"/>
        <v>0</v>
      </c>
      <c r="J57" s="1671">
        <f t="shared" si="6"/>
        <v>0</v>
      </c>
      <c r="K57" s="1671">
        <f t="shared" si="6"/>
        <v>695803</v>
      </c>
      <c r="L57" s="1667">
        <f>SUM(L55:L56)</f>
        <v>733920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116959</v>
      </c>
      <c r="D60" s="466">
        <v>131</v>
      </c>
      <c r="E60" s="466">
        <v>173</v>
      </c>
      <c r="F60" s="466">
        <v>0</v>
      </c>
      <c r="G60" s="466">
        <v>0</v>
      </c>
      <c r="H60" s="466">
        <v>0</v>
      </c>
      <c r="I60" s="467">
        <v>0</v>
      </c>
      <c r="J60" s="467">
        <v>0</v>
      </c>
      <c r="K60" s="1669">
        <f t="shared" si="7"/>
        <v>117263</v>
      </c>
      <c r="L60" s="466">
        <v>137650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172345</v>
      </c>
      <c r="D63" s="466">
        <v>29439</v>
      </c>
      <c r="E63" s="466">
        <v>0</v>
      </c>
      <c r="F63" s="466">
        <v>189152</v>
      </c>
      <c r="G63" s="466">
        <v>0</v>
      </c>
      <c r="H63" s="466">
        <v>1046</v>
      </c>
      <c r="I63" s="467">
        <v>0</v>
      </c>
      <c r="J63" s="467">
        <v>0</v>
      </c>
      <c r="K63" s="1669">
        <f t="shared" si="7"/>
        <v>391982</v>
      </c>
      <c r="L63" s="466">
        <v>442625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289304</v>
      </c>
      <c r="D65" s="1667">
        <f t="shared" ref="D65:L65" si="8">SUM(D59:D64)</f>
        <v>29570</v>
      </c>
      <c r="E65" s="1667">
        <f t="shared" si="8"/>
        <v>173</v>
      </c>
      <c r="F65" s="1667">
        <f t="shared" si="8"/>
        <v>189152</v>
      </c>
      <c r="G65" s="1667">
        <f t="shared" si="8"/>
        <v>0</v>
      </c>
      <c r="H65" s="1667">
        <f t="shared" si="8"/>
        <v>1046</v>
      </c>
      <c r="I65" s="1667">
        <f t="shared" si="8"/>
        <v>0</v>
      </c>
      <c r="J65" s="1667">
        <f t="shared" si="8"/>
        <v>0</v>
      </c>
      <c r="K65" s="1667">
        <f t="shared" si="8"/>
        <v>509245</v>
      </c>
      <c r="L65" s="1667">
        <f t="shared" si="8"/>
        <v>580275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2917</v>
      </c>
      <c r="F69" s="466">
        <v>12505</v>
      </c>
      <c r="G69" s="466">
        <v>0</v>
      </c>
      <c r="H69" s="466">
        <v>0</v>
      </c>
      <c r="I69" s="467">
        <v>0</v>
      </c>
      <c r="J69" s="467">
        <v>0</v>
      </c>
      <c r="K69" s="1669">
        <f>SUM(C69:J69)</f>
        <v>15422</v>
      </c>
      <c r="L69" s="466">
        <v>7000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19600</v>
      </c>
      <c r="M71" s="606"/>
      <c r="N71" s="606"/>
    </row>
    <row r="72" spans="1:14" s="343" customFormat="1" ht="12.75" customHeight="1" thickBot="1" x14ac:dyDescent="0.25">
      <c r="A72" s="1665" t="s">
        <v>37</v>
      </c>
      <c r="B72" s="1672" t="s">
        <v>36</v>
      </c>
      <c r="C72" s="1667">
        <f>SUM(C67:C71)</f>
        <v>0</v>
      </c>
      <c r="D72" s="1667">
        <f t="shared" ref="D72:K72" si="9">SUM(D67:D71)</f>
        <v>0</v>
      </c>
      <c r="E72" s="1667">
        <f t="shared" si="9"/>
        <v>2917</v>
      </c>
      <c r="F72" s="1667">
        <f t="shared" si="9"/>
        <v>12505</v>
      </c>
      <c r="G72" s="1667">
        <f t="shared" si="9"/>
        <v>0</v>
      </c>
      <c r="H72" s="1667">
        <f t="shared" si="9"/>
        <v>0</v>
      </c>
      <c r="I72" s="1667">
        <f t="shared" si="9"/>
        <v>0</v>
      </c>
      <c r="J72" s="1667">
        <f t="shared" si="9"/>
        <v>0</v>
      </c>
      <c r="K72" s="1667">
        <f t="shared" si="9"/>
        <v>15422</v>
      </c>
      <c r="L72" s="1667">
        <f>SUM(L67:L71)</f>
        <v>26600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1389818</v>
      </c>
      <c r="D74" s="1674">
        <f t="shared" ref="D74:K74" si="10">SUM(D42,D47,D53,D57,D65,D72,D73)</f>
        <v>311057</v>
      </c>
      <c r="E74" s="1674">
        <f t="shared" si="10"/>
        <v>147563</v>
      </c>
      <c r="F74" s="1674">
        <f t="shared" si="10"/>
        <v>267806</v>
      </c>
      <c r="G74" s="1674">
        <f t="shared" si="10"/>
        <v>4000</v>
      </c>
      <c r="H74" s="1674">
        <f t="shared" si="10"/>
        <v>36480</v>
      </c>
      <c r="I74" s="1674">
        <f t="shared" si="10"/>
        <v>0</v>
      </c>
      <c r="J74" s="1674">
        <f t="shared" si="10"/>
        <v>0</v>
      </c>
      <c r="K74" s="1674">
        <f t="shared" si="10"/>
        <v>2156724</v>
      </c>
      <c r="L74" s="1674">
        <f>SUM(L42,L47,L53,L57,L65,L72,L73)</f>
        <v>2298775</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96236</v>
      </c>
      <c r="F79" s="613"/>
      <c r="G79" s="613"/>
      <c r="H79" s="466">
        <v>56076</v>
      </c>
      <c r="I79" s="475"/>
      <c r="J79" s="475"/>
      <c r="K79" s="1668">
        <f t="shared" si="11"/>
        <v>152312</v>
      </c>
      <c r="L79" s="466">
        <v>55000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182</v>
      </c>
      <c r="I83" s="475"/>
      <c r="J83" s="475"/>
      <c r="K83" s="1668">
        <f t="shared" si="11"/>
        <v>182</v>
      </c>
      <c r="L83" s="466">
        <v>5000</v>
      </c>
    </row>
    <row r="84" spans="1:12" ht="13.5" thickBot="1" x14ac:dyDescent="0.25">
      <c r="A84" s="1665" t="s">
        <v>1485</v>
      </c>
      <c r="B84" s="1675">
        <v>4100</v>
      </c>
      <c r="C84" s="613"/>
      <c r="D84" s="613"/>
      <c r="E84" s="1667">
        <f>SUM(E78:E83)</f>
        <v>96236</v>
      </c>
      <c r="F84" s="613"/>
      <c r="G84" s="613"/>
      <c r="H84" s="1667">
        <f>SUM(H78:H83)</f>
        <v>56258</v>
      </c>
      <c r="I84" s="475"/>
      <c r="J84" s="475"/>
      <c r="K84" s="1667">
        <f>SUM(K78:K83)</f>
        <v>152494</v>
      </c>
      <c r="L84" s="1667">
        <f>SUM(L78:L83)</f>
        <v>60000</v>
      </c>
    </row>
    <row r="85" spans="1:12" ht="12.75" customHeight="1" thickTop="1" thickBot="1" x14ac:dyDescent="0.25">
      <c r="A85" s="1508" t="s">
        <v>255</v>
      </c>
      <c r="B85" s="632">
        <v>4210</v>
      </c>
      <c r="C85" s="613"/>
      <c r="D85" s="613"/>
      <c r="E85" s="633"/>
      <c r="F85" s="613"/>
      <c r="G85" s="613"/>
      <c r="H85" s="532">
        <v>13544</v>
      </c>
      <c r="I85" s="475"/>
      <c r="J85" s="475"/>
      <c r="K85" s="1674">
        <f>H85</f>
        <v>13544</v>
      </c>
      <c r="L85" s="527">
        <v>45000</v>
      </c>
    </row>
    <row r="86" spans="1:12" ht="12.75" customHeight="1" thickTop="1" thickBot="1" x14ac:dyDescent="0.25">
      <c r="A86" s="1509" t="s">
        <v>699</v>
      </c>
      <c r="B86" s="634">
        <v>4220</v>
      </c>
      <c r="C86" s="613"/>
      <c r="D86" s="613"/>
      <c r="E86" s="635"/>
      <c r="F86" s="613"/>
      <c r="G86" s="613"/>
      <c r="H86" s="467">
        <v>39277</v>
      </c>
      <c r="I86" s="475"/>
      <c r="J86" s="475"/>
      <c r="K86" s="1674">
        <f t="shared" ref="K86:K98" si="12">H86</f>
        <v>39277</v>
      </c>
      <c r="L86" s="527">
        <v>20000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38250</v>
      </c>
      <c r="I88" s="475"/>
      <c r="J88" s="475"/>
      <c r="K88" s="1674">
        <f t="shared" si="12"/>
        <v>38250</v>
      </c>
      <c r="L88" s="527">
        <v>57000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91071</v>
      </c>
      <c r="I92" s="475"/>
      <c r="J92" s="475"/>
      <c r="K92" s="1674">
        <f t="shared" si="12"/>
        <v>91071</v>
      </c>
      <c r="L92" s="1667">
        <f>SUM(L85:L91)</f>
        <v>122000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96236</v>
      </c>
      <c r="F102" s="613"/>
      <c r="G102" s="613"/>
      <c r="H102" s="1674">
        <f>SUM(H84,H92,H100,H101)</f>
        <v>147329</v>
      </c>
      <c r="I102" s="475"/>
      <c r="J102" s="475"/>
      <c r="K102" s="1674">
        <f>SUM(K84,K92,K100,K101)</f>
        <v>243565</v>
      </c>
      <c r="L102" s="1674">
        <f>SUM(L84,L92,L100,L101)</f>
        <v>182000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10000</v>
      </c>
      <c r="M113" s="610"/>
      <c r="N113" s="610"/>
    </row>
    <row r="114" spans="1:14" ht="12.75" customHeight="1" thickTop="1" thickBot="1" x14ac:dyDescent="0.25">
      <c r="A114" s="1665" t="s">
        <v>48</v>
      </c>
      <c r="B114" s="1679"/>
      <c r="C114" s="1667">
        <f>SUM(C33,C74,C75,C102,C112,C113)</f>
        <v>5345197</v>
      </c>
      <c r="D114" s="1667">
        <f t="shared" ref="D114:K114" si="13">SUM(D33,D74,D75,D102,D112,D113)</f>
        <v>1290098</v>
      </c>
      <c r="E114" s="1667">
        <f t="shared" si="13"/>
        <v>472762</v>
      </c>
      <c r="F114" s="1667">
        <f t="shared" si="13"/>
        <v>606701</v>
      </c>
      <c r="G114" s="1667">
        <f t="shared" si="13"/>
        <v>8200</v>
      </c>
      <c r="H114" s="1667">
        <f>SUM(H33,H74,H75,H102,H112,H113)</f>
        <v>548219</v>
      </c>
      <c r="I114" s="1667">
        <f t="shared" si="13"/>
        <v>0</v>
      </c>
      <c r="J114" s="1667">
        <f t="shared" si="13"/>
        <v>0</v>
      </c>
      <c r="K114" s="1667">
        <f t="shared" si="13"/>
        <v>8271177</v>
      </c>
      <c r="L114" s="1667">
        <f>SUM(L33,L74,L75,L102,L112,L113)</f>
        <v>9211236</v>
      </c>
    </row>
    <row r="115" spans="1:14" ht="13.5" thickTop="1" x14ac:dyDescent="0.2">
      <c r="A115" s="2156" t="s">
        <v>996</v>
      </c>
      <c r="B115" s="2157"/>
      <c r="C115" s="615"/>
      <c r="D115" s="615"/>
      <c r="E115" s="615"/>
      <c r="F115" s="615"/>
      <c r="G115" s="615"/>
      <c r="H115" s="615"/>
      <c r="I115" s="615"/>
      <c r="J115" s="615"/>
      <c r="K115" s="1681">
        <f>'Revenues 9-14'!C268-'Expenditures 15-22'!K114</f>
        <v>352102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61" t="s">
        <v>296</v>
      </c>
      <c r="B117" s="2162"/>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314281</v>
      </c>
      <c r="D124" s="466">
        <v>43503</v>
      </c>
      <c r="E124" s="466">
        <v>276496</v>
      </c>
      <c r="F124" s="466">
        <v>318589</v>
      </c>
      <c r="G124" s="466">
        <v>100563</v>
      </c>
      <c r="H124" s="466">
        <v>44</v>
      </c>
      <c r="I124" s="467">
        <v>0</v>
      </c>
      <c r="J124" s="467">
        <v>0</v>
      </c>
      <c r="K124" s="1667">
        <f>SUM(C124:J124)</f>
        <v>1053476</v>
      </c>
      <c r="L124" s="466">
        <v>1261950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314281</v>
      </c>
      <c r="D127" s="1667">
        <f t="shared" ref="D127:L127" si="14">SUM(D122:D126)</f>
        <v>43503</v>
      </c>
      <c r="E127" s="1667">
        <f t="shared" si="14"/>
        <v>276496</v>
      </c>
      <c r="F127" s="1667">
        <f t="shared" si="14"/>
        <v>318589</v>
      </c>
      <c r="G127" s="1667">
        <f t="shared" si="14"/>
        <v>100563</v>
      </c>
      <c r="H127" s="1667">
        <f t="shared" si="14"/>
        <v>44</v>
      </c>
      <c r="I127" s="1667">
        <f t="shared" si="14"/>
        <v>0</v>
      </c>
      <c r="J127" s="1667">
        <f t="shared" si="14"/>
        <v>0</v>
      </c>
      <c r="K127" s="1667">
        <f t="shared" si="14"/>
        <v>1053476</v>
      </c>
      <c r="L127" s="1667">
        <f t="shared" si="14"/>
        <v>1261950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314281</v>
      </c>
      <c r="D129" s="1674">
        <f t="shared" ref="D129:L129" si="15">SUM(D120,D127,D128)</f>
        <v>43503</v>
      </c>
      <c r="E129" s="1674">
        <f t="shared" si="15"/>
        <v>276496</v>
      </c>
      <c r="F129" s="1674">
        <f t="shared" si="15"/>
        <v>318589</v>
      </c>
      <c r="G129" s="1674">
        <f t="shared" si="15"/>
        <v>100563</v>
      </c>
      <c r="H129" s="1674">
        <f t="shared" si="15"/>
        <v>44</v>
      </c>
      <c r="I129" s="1674">
        <f t="shared" si="15"/>
        <v>0</v>
      </c>
      <c r="J129" s="1674">
        <f t="shared" si="15"/>
        <v>0</v>
      </c>
      <c r="K129" s="1674">
        <f t="shared" si="15"/>
        <v>1053476</v>
      </c>
      <c r="L129" s="1674">
        <f t="shared" si="15"/>
        <v>1261950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73" t="s">
        <v>620</v>
      </c>
      <c r="B151" s="2153"/>
      <c r="C151" s="1667">
        <f>SUM(C129,C130,C139,C149,C150)</f>
        <v>314281</v>
      </c>
      <c r="D151" s="1667">
        <f t="shared" ref="D151:K151" si="16">SUM(D129,D130,D139,D149,D150)</f>
        <v>43503</v>
      </c>
      <c r="E151" s="1667">
        <f t="shared" si="16"/>
        <v>276496</v>
      </c>
      <c r="F151" s="1667">
        <f t="shared" si="16"/>
        <v>318589</v>
      </c>
      <c r="G151" s="1667">
        <f t="shared" si="16"/>
        <v>100563</v>
      </c>
      <c r="H151" s="1667">
        <f t="shared" si="16"/>
        <v>44</v>
      </c>
      <c r="I151" s="1667">
        <f t="shared" si="16"/>
        <v>0</v>
      </c>
      <c r="J151" s="1667">
        <f t="shared" si="16"/>
        <v>0</v>
      </c>
      <c r="K151" s="1667">
        <f t="shared" si="16"/>
        <v>1053476</v>
      </c>
      <c r="L151" s="1667">
        <f>SUM(L129,L130,L139,L149,L150)</f>
        <v>1261950</v>
      </c>
    </row>
    <row r="152" spans="1:14" ht="12.75" customHeight="1" thickTop="1" x14ac:dyDescent="0.2">
      <c r="A152" s="2176" t="s">
        <v>1178</v>
      </c>
      <c r="B152" s="2177"/>
      <c r="C152" s="615"/>
      <c r="D152" s="615"/>
      <c r="E152" s="615"/>
      <c r="F152" s="615"/>
      <c r="G152" s="615"/>
      <c r="H152" s="615"/>
      <c r="I152" s="615"/>
      <c r="J152" s="613"/>
      <c r="K152" s="1681">
        <f>'Revenues 9-14'!D268-'Expenditures 15-22'!K151</f>
        <v>-2961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61" t="s">
        <v>621</v>
      </c>
      <c r="B154" s="2163"/>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12575</v>
      </c>
      <c r="I169" s="613"/>
      <c r="J169" s="613"/>
      <c r="K169" s="1668">
        <f>SUM(C169:H169)</f>
        <v>12575</v>
      </c>
      <c r="L169" s="653">
        <v>12575</v>
      </c>
    </row>
    <row r="170" spans="1:14" ht="33.75" customHeight="1" x14ac:dyDescent="0.2">
      <c r="A170" s="666" t="s">
        <v>1670</v>
      </c>
      <c r="B170" s="668" t="s">
        <v>31</v>
      </c>
      <c r="C170" s="613"/>
      <c r="D170" s="613"/>
      <c r="E170" s="613"/>
      <c r="F170" s="613"/>
      <c r="G170" s="613"/>
      <c r="H170" s="566">
        <v>100000</v>
      </c>
      <c r="I170" s="613"/>
      <c r="J170" s="613"/>
      <c r="K170" s="1668">
        <f>SUM(C170:J170)</f>
        <v>100000</v>
      </c>
      <c r="L170" s="566">
        <v>100000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500</v>
      </c>
    </row>
    <row r="172" spans="1:14" ht="12.75" customHeight="1" thickBot="1" x14ac:dyDescent="0.25">
      <c r="A172" s="1665" t="s">
        <v>638</v>
      </c>
      <c r="B172" s="1666" t="s">
        <v>492</v>
      </c>
      <c r="C172" s="613"/>
      <c r="D172" s="613"/>
      <c r="E172" s="1674">
        <f>SUM(E168,E169,E170,E171)</f>
        <v>0</v>
      </c>
      <c r="F172" s="613"/>
      <c r="G172" s="613"/>
      <c r="H172" s="1674">
        <f>SUM(H168,H169,H170,H171)</f>
        <v>113075</v>
      </c>
      <c r="I172" s="635"/>
      <c r="J172" s="613"/>
      <c r="K172" s="1674">
        <f>SUM(K168,K169,K170,K171)</f>
        <v>113075</v>
      </c>
      <c r="L172" s="1674">
        <f>SUM(L168,L169,L170,L171)</f>
        <v>113075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113075</v>
      </c>
      <c r="I174" s="635"/>
      <c r="J174" s="613"/>
      <c r="K174" s="1674">
        <f>SUM(K160,K172,K173)</f>
        <v>113075</v>
      </c>
      <c r="L174" s="1674">
        <f>SUM(L160,L172,L173)</f>
        <v>113075</v>
      </c>
    </row>
    <row r="175" spans="1:14" ht="13.5" thickTop="1" x14ac:dyDescent="0.2">
      <c r="A175" s="2156" t="s">
        <v>996</v>
      </c>
      <c r="B175" s="2157"/>
      <c r="C175" s="613"/>
      <c r="D175" s="613"/>
      <c r="E175" s="613"/>
      <c r="F175" s="613"/>
      <c r="G175" s="613"/>
      <c r="H175" s="615"/>
      <c r="I175" s="613"/>
      <c r="J175" s="613"/>
      <c r="K175" s="1681">
        <f>'Revenues 9-14'!E268-'Expenditures 15-22'!K174</f>
        <v>-106795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40845</v>
      </c>
      <c r="D182" s="466">
        <v>2919</v>
      </c>
      <c r="E182" s="466">
        <v>948491</v>
      </c>
      <c r="F182" s="466">
        <v>7353</v>
      </c>
      <c r="G182" s="466">
        <v>0</v>
      </c>
      <c r="H182" s="466">
        <v>0</v>
      </c>
      <c r="I182" s="467">
        <v>0</v>
      </c>
      <c r="J182" s="467">
        <v>0</v>
      </c>
      <c r="K182" s="1668">
        <f>SUM(C182:J182)</f>
        <v>999608</v>
      </c>
      <c r="L182" s="466">
        <v>1019768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40845</v>
      </c>
      <c r="D184" s="1674">
        <f t="shared" ref="D184:J184" si="17">SUM(D180,D182,D183)</f>
        <v>2919</v>
      </c>
      <c r="E184" s="1674">
        <f t="shared" si="17"/>
        <v>948491</v>
      </c>
      <c r="F184" s="1674">
        <f t="shared" si="17"/>
        <v>7353</v>
      </c>
      <c r="G184" s="1674">
        <f t="shared" si="17"/>
        <v>0</v>
      </c>
      <c r="H184" s="1674">
        <f t="shared" si="17"/>
        <v>0</v>
      </c>
      <c r="I184" s="1674">
        <f t="shared" si="17"/>
        <v>0</v>
      </c>
      <c r="J184" s="1674">
        <f t="shared" si="17"/>
        <v>0</v>
      </c>
      <c r="K184" s="1674">
        <f>SUM(K180,K182,K183)</f>
        <v>999608</v>
      </c>
      <c r="L184" s="1674">
        <f>SUM(L180, L182:L183)</f>
        <v>1019768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40845</v>
      </c>
      <c r="D210" s="1667">
        <f>SUM(D184,D185)</f>
        <v>2919</v>
      </c>
      <c r="E210" s="1667">
        <f>SUM(E184,E185,E196)</f>
        <v>948491</v>
      </c>
      <c r="F210" s="1667">
        <f>SUM(F184,F185)</f>
        <v>7353</v>
      </c>
      <c r="G210" s="1667">
        <f>SUM(G184,G185)</f>
        <v>0</v>
      </c>
      <c r="H210" s="1667">
        <f>SUM(H184,H185,H196,H208,H209)</f>
        <v>0</v>
      </c>
      <c r="I210" s="1667">
        <f>SUM(I184,I185)</f>
        <v>0</v>
      </c>
      <c r="J210" s="1667">
        <f>SUM(J184,J185)</f>
        <v>0</v>
      </c>
      <c r="K210" s="1668">
        <f>SUM(K184,K185,K196,K208,K209)</f>
        <v>999608</v>
      </c>
      <c r="L210" s="1667">
        <f>SUM(L184,L185,L196,L208,L209)</f>
        <v>1019768</v>
      </c>
    </row>
    <row r="211" spans="1:14" ht="13.5" thickTop="1" x14ac:dyDescent="0.2">
      <c r="A211" s="2156" t="s">
        <v>996</v>
      </c>
      <c r="B211" s="2157"/>
      <c r="C211" s="615"/>
      <c r="D211" s="615"/>
      <c r="E211" s="615"/>
      <c r="F211" s="615"/>
      <c r="G211" s="615"/>
      <c r="H211" s="615"/>
      <c r="I211" s="613"/>
      <c r="J211" s="613"/>
      <c r="K211" s="1681">
        <f>'Revenues 9-14'!F268-'Expenditures 15-22'!K210</f>
        <v>-194591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8" t="s">
        <v>965</v>
      </c>
      <c r="B213" s="2179"/>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47881</v>
      </c>
      <c r="E215" s="613"/>
      <c r="F215" s="613"/>
      <c r="G215" s="613"/>
      <c r="H215" s="613"/>
      <c r="I215" s="613"/>
      <c r="J215" s="613"/>
      <c r="K215" s="1668">
        <f>D215</f>
        <v>47881</v>
      </c>
      <c r="L215" s="466">
        <v>56650</v>
      </c>
    </row>
    <row r="216" spans="1:14" x14ac:dyDescent="0.2">
      <c r="A216" s="1501" t="s">
        <v>163</v>
      </c>
      <c r="B216" s="611" t="s">
        <v>967</v>
      </c>
      <c r="C216" s="613"/>
      <c r="D216" s="467">
        <v>8999</v>
      </c>
      <c r="E216" s="613"/>
      <c r="F216" s="613"/>
      <c r="G216" s="613"/>
      <c r="H216" s="613"/>
      <c r="I216" s="613"/>
      <c r="J216" s="613"/>
      <c r="K216" s="1668">
        <f t="shared" ref="K216:K228" si="19">D216</f>
        <v>8999</v>
      </c>
      <c r="L216" s="466">
        <v>9900</v>
      </c>
    </row>
    <row r="217" spans="1:14" x14ac:dyDescent="0.2">
      <c r="A217" s="1501" t="s">
        <v>164</v>
      </c>
      <c r="B217" s="611">
        <v>1200</v>
      </c>
      <c r="C217" s="613"/>
      <c r="D217" s="466">
        <v>61680</v>
      </c>
      <c r="E217" s="613"/>
      <c r="F217" s="613"/>
      <c r="G217" s="613"/>
      <c r="H217" s="613"/>
      <c r="I217" s="613"/>
      <c r="J217" s="613"/>
      <c r="K217" s="1668">
        <f t="shared" si="19"/>
        <v>61680</v>
      </c>
      <c r="L217" s="466">
        <v>78225</v>
      </c>
    </row>
    <row r="218" spans="1:14" x14ac:dyDescent="0.2">
      <c r="A218" s="1501" t="s">
        <v>278</v>
      </c>
      <c r="B218" s="611" t="s">
        <v>968</v>
      </c>
      <c r="C218" s="613"/>
      <c r="D218" s="467">
        <v>6022</v>
      </c>
      <c r="E218" s="613"/>
      <c r="F218" s="613"/>
      <c r="G218" s="613"/>
      <c r="H218" s="613"/>
      <c r="I218" s="613"/>
      <c r="J218" s="613"/>
      <c r="K218" s="1668">
        <f t="shared" si="19"/>
        <v>6022</v>
      </c>
      <c r="L218" s="466">
        <v>5375</v>
      </c>
    </row>
    <row r="219" spans="1:14" x14ac:dyDescent="0.2">
      <c r="A219" s="1501" t="s">
        <v>279</v>
      </c>
      <c r="B219" s="611">
        <v>1250</v>
      </c>
      <c r="C219" s="613"/>
      <c r="D219" s="466">
        <v>0</v>
      </c>
      <c r="E219" s="613"/>
      <c r="F219" s="613"/>
      <c r="G219" s="613"/>
      <c r="H219" s="613"/>
      <c r="I219" s="613"/>
      <c r="J219" s="613"/>
      <c r="K219" s="1668">
        <f t="shared" si="19"/>
        <v>0</v>
      </c>
      <c r="L219" s="466">
        <v>1650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2145</v>
      </c>
      <c r="E222" s="613"/>
      <c r="F222" s="613"/>
      <c r="G222" s="613"/>
      <c r="H222" s="613"/>
      <c r="I222" s="613"/>
      <c r="J222" s="613"/>
      <c r="K222" s="1668">
        <f t="shared" si="19"/>
        <v>2145</v>
      </c>
      <c r="L222" s="466">
        <v>2375</v>
      </c>
    </row>
    <row r="223" spans="1:14" x14ac:dyDescent="0.2">
      <c r="A223" s="1501" t="s">
        <v>963</v>
      </c>
      <c r="B223" s="611">
        <v>1500</v>
      </c>
      <c r="C223" s="613"/>
      <c r="D223" s="466">
        <v>4707</v>
      </c>
      <c r="E223" s="613"/>
      <c r="F223" s="613"/>
      <c r="G223" s="613"/>
      <c r="H223" s="613"/>
      <c r="I223" s="613"/>
      <c r="J223" s="613"/>
      <c r="K223" s="1668">
        <f t="shared" si="19"/>
        <v>4707</v>
      </c>
      <c r="L223" s="466">
        <v>5400</v>
      </c>
    </row>
    <row r="224" spans="1:14" x14ac:dyDescent="0.2">
      <c r="A224" s="1501" t="s">
        <v>964</v>
      </c>
      <c r="B224" s="611">
        <v>1600</v>
      </c>
      <c r="C224" s="613"/>
      <c r="D224" s="466">
        <v>38</v>
      </c>
      <c r="E224" s="613"/>
      <c r="F224" s="613"/>
      <c r="G224" s="613"/>
      <c r="H224" s="613"/>
      <c r="I224" s="613"/>
      <c r="J224" s="613"/>
      <c r="K224" s="1668">
        <f t="shared" si="19"/>
        <v>38</v>
      </c>
      <c r="L224" s="466">
        <v>450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269</v>
      </c>
      <c r="E226" s="613"/>
      <c r="F226" s="613"/>
      <c r="G226" s="613"/>
      <c r="H226" s="613"/>
      <c r="I226" s="613"/>
      <c r="J226" s="613"/>
      <c r="K226" s="1668">
        <f t="shared" si="19"/>
        <v>269</v>
      </c>
      <c r="L226" s="466">
        <v>150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131741</v>
      </c>
      <c r="E229" s="613"/>
      <c r="F229" s="613"/>
      <c r="G229" s="613"/>
      <c r="H229" s="613"/>
      <c r="I229" s="613"/>
      <c r="J229" s="613"/>
      <c r="K229" s="1667">
        <f>SUM(K215:K228)</f>
        <v>131741</v>
      </c>
      <c r="L229" s="1667">
        <f>SUM(L215:L228)</f>
        <v>160175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4172</v>
      </c>
      <c r="E232" s="613"/>
      <c r="F232" s="613"/>
      <c r="G232" s="613"/>
      <c r="H232" s="613"/>
      <c r="I232" s="613"/>
      <c r="J232" s="613"/>
      <c r="K232" s="1668">
        <f t="shared" ref="K232:K237" si="20">D232</f>
        <v>4172</v>
      </c>
      <c r="L232" s="466">
        <v>4700</v>
      </c>
    </row>
    <row r="233" spans="1:12" x14ac:dyDescent="0.2">
      <c r="A233" s="1501" t="s">
        <v>1090</v>
      </c>
      <c r="B233" s="611">
        <v>2120</v>
      </c>
      <c r="C233" s="613"/>
      <c r="D233" s="466">
        <v>622</v>
      </c>
      <c r="E233" s="613"/>
      <c r="F233" s="613"/>
      <c r="G233" s="613"/>
      <c r="H233" s="613"/>
      <c r="I233" s="613"/>
      <c r="J233" s="613"/>
      <c r="K233" s="1668">
        <f t="shared" si="20"/>
        <v>622</v>
      </c>
      <c r="L233" s="466">
        <v>775</v>
      </c>
    </row>
    <row r="234" spans="1:12" x14ac:dyDescent="0.2">
      <c r="A234" s="1501" t="s">
        <v>198</v>
      </c>
      <c r="B234" s="611">
        <v>2130</v>
      </c>
      <c r="C234" s="613"/>
      <c r="D234" s="466">
        <v>7973</v>
      </c>
      <c r="E234" s="613"/>
      <c r="F234" s="613"/>
      <c r="G234" s="613"/>
      <c r="H234" s="613"/>
      <c r="I234" s="613"/>
      <c r="J234" s="613"/>
      <c r="K234" s="1668">
        <f t="shared" si="20"/>
        <v>7973</v>
      </c>
      <c r="L234" s="466">
        <v>8500</v>
      </c>
    </row>
    <row r="235" spans="1:12" x14ac:dyDescent="0.2">
      <c r="A235" s="1501" t="s">
        <v>199</v>
      </c>
      <c r="B235" s="611">
        <v>2140</v>
      </c>
      <c r="C235" s="613"/>
      <c r="D235" s="466">
        <v>2877</v>
      </c>
      <c r="E235" s="613"/>
      <c r="F235" s="613"/>
      <c r="G235" s="613"/>
      <c r="H235" s="613"/>
      <c r="I235" s="613"/>
      <c r="J235" s="613"/>
      <c r="K235" s="1668">
        <f t="shared" si="20"/>
        <v>2877</v>
      </c>
      <c r="L235" s="466">
        <v>3500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15644</v>
      </c>
      <c r="E238" s="613"/>
      <c r="F238" s="613"/>
      <c r="G238" s="613"/>
      <c r="H238" s="613"/>
      <c r="I238" s="613"/>
      <c r="J238" s="613"/>
      <c r="K238" s="1667">
        <f>SUM(K232:K237)</f>
        <v>15644</v>
      </c>
      <c r="L238" s="1667">
        <f>SUM(L232:L237)</f>
        <v>17475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611</v>
      </c>
      <c r="E240" s="613"/>
      <c r="F240" s="613"/>
      <c r="G240" s="613"/>
      <c r="H240" s="613"/>
      <c r="I240" s="613"/>
      <c r="J240" s="613"/>
      <c r="K240" s="1669">
        <f>D240</f>
        <v>611</v>
      </c>
      <c r="L240" s="479">
        <v>1600</v>
      </c>
    </row>
    <row r="241" spans="1:12" x14ac:dyDescent="0.2">
      <c r="A241" s="1501" t="s">
        <v>815</v>
      </c>
      <c r="B241" s="611">
        <v>2220</v>
      </c>
      <c r="C241" s="613"/>
      <c r="D241" s="466">
        <v>29085</v>
      </c>
      <c r="E241" s="613"/>
      <c r="F241" s="613"/>
      <c r="G241" s="613"/>
      <c r="H241" s="613"/>
      <c r="I241" s="613"/>
      <c r="J241" s="613"/>
      <c r="K241" s="1669">
        <f>D241</f>
        <v>29085</v>
      </c>
      <c r="L241" s="466">
        <v>30000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29696</v>
      </c>
      <c r="E243" s="613"/>
      <c r="F243" s="613"/>
      <c r="G243" s="613"/>
      <c r="H243" s="613"/>
      <c r="I243" s="613"/>
      <c r="J243" s="613"/>
      <c r="K243" s="1667">
        <f>SUM(K240:K242)</f>
        <v>29696</v>
      </c>
      <c r="L243" s="1667">
        <f>SUM(L240:L242)</f>
        <v>31600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634</v>
      </c>
      <c r="E245" s="613"/>
      <c r="F245" s="613"/>
      <c r="G245" s="613"/>
      <c r="H245" s="613"/>
      <c r="I245" s="613"/>
      <c r="J245" s="613"/>
      <c r="K245" s="1669">
        <f>D245</f>
        <v>634</v>
      </c>
      <c r="L245" s="479">
        <v>1425</v>
      </c>
    </row>
    <row r="246" spans="1:12" x14ac:dyDescent="0.2">
      <c r="A246" s="1501" t="s">
        <v>818</v>
      </c>
      <c r="B246" s="611">
        <v>2320</v>
      </c>
      <c r="C246" s="613"/>
      <c r="D246" s="466">
        <v>1448</v>
      </c>
      <c r="E246" s="613"/>
      <c r="F246" s="613"/>
      <c r="G246" s="613"/>
      <c r="H246" s="613"/>
      <c r="I246" s="613"/>
      <c r="J246" s="613"/>
      <c r="K246" s="1669">
        <f t="shared" ref="K246:K256" si="21">D246</f>
        <v>1448</v>
      </c>
      <c r="L246" s="466">
        <v>1900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11753</v>
      </c>
      <c r="E252" s="613"/>
      <c r="F252" s="613"/>
      <c r="G252" s="613"/>
      <c r="H252" s="613"/>
      <c r="I252" s="613"/>
      <c r="J252" s="613"/>
      <c r="K252" s="1669">
        <f t="shared" si="21"/>
        <v>11753</v>
      </c>
      <c r="L252" s="466">
        <v>8000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13835</v>
      </c>
      <c r="E257" s="613"/>
      <c r="F257" s="613"/>
      <c r="G257" s="613"/>
      <c r="H257" s="613"/>
      <c r="I257" s="613"/>
      <c r="J257" s="613"/>
      <c r="K257" s="1667">
        <f>SUM(K245:K256)</f>
        <v>13835</v>
      </c>
      <c r="L257" s="1667">
        <f>SUM(L245:L256)</f>
        <v>11325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28495</v>
      </c>
      <c r="E259" s="613"/>
      <c r="F259" s="613"/>
      <c r="G259" s="613"/>
      <c r="H259" s="613"/>
      <c r="I259" s="613"/>
      <c r="J259" s="613"/>
      <c r="K259" s="1669">
        <f>D259</f>
        <v>28495</v>
      </c>
      <c r="L259" s="479">
        <v>32700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28495</v>
      </c>
      <c r="E261" s="613"/>
      <c r="F261" s="613"/>
      <c r="G261" s="613"/>
      <c r="H261" s="613"/>
      <c r="I261" s="613"/>
      <c r="J261" s="613"/>
      <c r="K261" s="1667">
        <f>SUM(K259:K260)</f>
        <v>28495</v>
      </c>
      <c r="L261" s="1667">
        <f>SUM(L259:L260)</f>
        <v>32700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21297</v>
      </c>
      <c r="E264" s="613"/>
      <c r="F264" s="613"/>
      <c r="G264" s="613"/>
      <c r="H264" s="613"/>
      <c r="I264" s="613"/>
      <c r="J264" s="613"/>
      <c r="K264" s="1669">
        <f t="shared" ref="K264:K269" si="22">D264</f>
        <v>21297</v>
      </c>
      <c r="L264" s="466">
        <v>23600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56478</v>
      </c>
      <c r="E266" s="613"/>
      <c r="F266" s="613"/>
      <c r="G266" s="613"/>
      <c r="H266" s="613"/>
      <c r="I266" s="613"/>
      <c r="J266" s="613"/>
      <c r="K266" s="1669">
        <f t="shared" si="22"/>
        <v>56478</v>
      </c>
      <c r="L266" s="466">
        <v>64500</v>
      </c>
    </row>
    <row r="267" spans="1:14" x14ac:dyDescent="0.2">
      <c r="A267" s="1501" t="s">
        <v>953</v>
      </c>
      <c r="B267" s="611">
        <v>2550</v>
      </c>
      <c r="C267" s="613"/>
      <c r="D267" s="466">
        <v>5536</v>
      </c>
      <c r="E267" s="613"/>
      <c r="F267" s="613"/>
      <c r="G267" s="613"/>
      <c r="H267" s="613"/>
      <c r="I267" s="613"/>
      <c r="J267" s="613"/>
      <c r="K267" s="1669">
        <f t="shared" si="22"/>
        <v>5536</v>
      </c>
      <c r="L267" s="466">
        <v>5000</v>
      </c>
    </row>
    <row r="268" spans="1:14" x14ac:dyDescent="0.2">
      <c r="A268" s="1501" t="s">
        <v>100</v>
      </c>
      <c r="B268" s="611">
        <v>2560</v>
      </c>
      <c r="C268" s="613"/>
      <c r="D268" s="466">
        <v>31515</v>
      </c>
      <c r="E268" s="613"/>
      <c r="F268" s="613"/>
      <c r="G268" s="613"/>
      <c r="H268" s="613"/>
      <c r="I268" s="613"/>
      <c r="J268" s="613"/>
      <c r="K268" s="1669">
        <f t="shared" si="22"/>
        <v>31515</v>
      </c>
      <c r="L268" s="466">
        <v>33800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114826</v>
      </c>
      <c r="E270" s="613"/>
      <c r="F270" s="613"/>
      <c r="G270" s="613"/>
      <c r="H270" s="613"/>
      <c r="I270" s="613"/>
      <c r="J270" s="613"/>
      <c r="K270" s="1667">
        <f>SUM(K263:K269)</f>
        <v>114826</v>
      </c>
      <c r="L270" s="1667">
        <f>SUM(L263:L269)</f>
        <v>126900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202496</v>
      </c>
      <c r="E279" s="613"/>
      <c r="F279" s="613"/>
      <c r="G279" s="613"/>
      <c r="H279" s="613"/>
      <c r="I279" s="613"/>
      <c r="J279" s="613"/>
      <c r="K279" s="1674">
        <f>SUM(K238,K243,K257,K261,K270,K277,K278)</f>
        <v>202496</v>
      </c>
      <c r="L279" s="1674">
        <f>SUM(L238,L243,L257,L261,L270,L277,L278)</f>
        <v>220000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74" t="s">
        <v>505</v>
      </c>
      <c r="B295" s="2175"/>
      <c r="C295" s="613"/>
      <c r="D295" s="1667">
        <f>SUM(D229,D279,D280,D285)</f>
        <v>334237</v>
      </c>
      <c r="E295" s="613"/>
      <c r="F295" s="613"/>
      <c r="G295" s="613"/>
      <c r="H295" s="1667">
        <f>H293</f>
        <v>0</v>
      </c>
      <c r="I295" s="613"/>
      <c r="J295" s="613"/>
      <c r="K295" s="1667">
        <f>SUM(K229,K279,K280,K285,K293,K294)</f>
        <v>334237</v>
      </c>
      <c r="L295" s="1667">
        <f>SUM(L229,L279,L280,L285,L293,L294)</f>
        <v>380175</v>
      </c>
    </row>
    <row r="296" spans="1:14" ht="13.5" thickTop="1" x14ac:dyDescent="0.2">
      <c r="A296" s="2156" t="s">
        <v>996</v>
      </c>
      <c r="B296" s="2157"/>
      <c r="C296" s="613"/>
      <c r="D296" s="615"/>
      <c r="E296" s="613"/>
      <c r="F296" s="613"/>
      <c r="G296" s="613"/>
      <c r="H296" s="684"/>
      <c r="I296" s="613"/>
      <c r="J296" s="613"/>
      <c r="K296" s="1681">
        <f>'Revenues 9-14'!G268-'Expenditures 15-22'!K295</f>
        <v>6909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6" t="s">
        <v>143</v>
      </c>
      <c r="B298" s="2160"/>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71" t="s">
        <v>277</v>
      </c>
      <c r="B312" s="2172"/>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7" t="s">
        <v>996</v>
      </c>
      <c r="B313" s="2168"/>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80" t="s">
        <v>149</v>
      </c>
      <c r="B315" s="2181"/>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2" t="s">
        <v>898</v>
      </c>
      <c r="B317" s="2181"/>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38626</v>
      </c>
      <c r="F320" s="467">
        <v>0</v>
      </c>
      <c r="G320" s="467">
        <v>0</v>
      </c>
      <c r="H320" s="467">
        <v>0</v>
      </c>
      <c r="I320" s="467">
        <v>0</v>
      </c>
      <c r="J320" s="467">
        <v>0</v>
      </c>
      <c r="K320" s="1668">
        <f t="shared" ref="K320:K327" si="24">SUM(C320:J320)</f>
        <v>38626</v>
      </c>
      <c r="L320" s="467">
        <v>26000</v>
      </c>
      <c r="M320" s="662"/>
      <c r="N320" s="662"/>
    </row>
    <row r="321" spans="1:14" s="671" customFormat="1" x14ac:dyDescent="0.2">
      <c r="A321" s="1516" t="s">
        <v>300</v>
      </c>
      <c r="B321" s="694" t="s">
        <v>283</v>
      </c>
      <c r="C321" s="467">
        <v>0</v>
      </c>
      <c r="D321" s="467">
        <v>0</v>
      </c>
      <c r="E321" s="467">
        <v>579</v>
      </c>
      <c r="F321" s="467">
        <v>0</v>
      </c>
      <c r="G321" s="467">
        <v>0</v>
      </c>
      <c r="H321" s="467">
        <v>0</v>
      </c>
      <c r="I321" s="467">
        <v>0</v>
      </c>
      <c r="J321" s="467">
        <v>0</v>
      </c>
      <c r="K321" s="1668">
        <f t="shared" si="24"/>
        <v>579</v>
      </c>
      <c r="L321" s="467">
        <v>10000</v>
      </c>
      <c r="M321" s="662"/>
      <c r="N321" s="662"/>
    </row>
    <row r="322" spans="1:14" s="671" customFormat="1" x14ac:dyDescent="0.2">
      <c r="A322" s="1516" t="s">
        <v>238</v>
      </c>
      <c r="B322" s="694" t="s">
        <v>284</v>
      </c>
      <c r="C322" s="467">
        <v>0</v>
      </c>
      <c r="D322" s="467">
        <v>0</v>
      </c>
      <c r="E322" s="467">
        <v>57744</v>
      </c>
      <c r="F322" s="467">
        <v>0</v>
      </c>
      <c r="G322" s="467">
        <v>0</v>
      </c>
      <c r="H322" s="467">
        <v>0</v>
      </c>
      <c r="I322" s="467">
        <v>0</v>
      </c>
      <c r="J322" s="467">
        <v>0</v>
      </c>
      <c r="K322" s="1668">
        <f t="shared" si="24"/>
        <v>57744</v>
      </c>
      <c r="L322" s="467">
        <v>57645</v>
      </c>
      <c r="M322" s="662"/>
      <c r="N322" s="662"/>
    </row>
    <row r="323" spans="1:14" s="671" customFormat="1" x14ac:dyDescent="0.2">
      <c r="A323" s="1516" t="s">
        <v>702</v>
      </c>
      <c r="B323" s="694" t="s">
        <v>285</v>
      </c>
      <c r="C323" s="467">
        <v>147615</v>
      </c>
      <c r="D323" s="467">
        <v>7931</v>
      </c>
      <c r="E323" s="467">
        <v>0</v>
      </c>
      <c r="F323" s="467">
        <v>33618</v>
      </c>
      <c r="G323" s="467">
        <v>59519</v>
      </c>
      <c r="H323" s="467">
        <v>0</v>
      </c>
      <c r="I323" s="467">
        <v>0</v>
      </c>
      <c r="J323" s="467">
        <v>0</v>
      </c>
      <c r="K323" s="1668">
        <f t="shared" si="24"/>
        <v>248683</v>
      </c>
      <c r="L323" s="467">
        <v>272000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14426</v>
      </c>
      <c r="F325" s="467">
        <v>0</v>
      </c>
      <c r="G325" s="467">
        <v>0</v>
      </c>
      <c r="H325" s="467">
        <v>0</v>
      </c>
      <c r="I325" s="467">
        <v>0</v>
      </c>
      <c r="J325" s="467">
        <v>0</v>
      </c>
      <c r="K325" s="1668">
        <f t="shared" si="24"/>
        <v>14426</v>
      </c>
      <c r="L325" s="467">
        <v>15000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25791</v>
      </c>
      <c r="F327" s="467">
        <v>0</v>
      </c>
      <c r="G327" s="467">
        <v>0</v>
      </c>
      <c r="H327" s="467">
        <v>0</v>
      </c>
      <c r="I327" s="467">
        <v>0</v>
      </c>
      <c r="J327" s="467">
        <v>0</v>
      </c>
      <c r="K327" s="1668">
        <f t="shared" si="24"/>
        <v>25791</v>
      </c>
      <c r="L327" s="467">
        <v>45000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147615</v>
      </c>
      <c r="D330" s="1667">
        <f t="shared" ref="D330:J330" si="25">SUM(D319:D329)</f>
        <v>7931</v>
      </c>
      <c r="E330" s="1667">
        <f t="shared" si="25"/>
        <v>137166</v>
      </c>
      <c r="F330" s="1667">
        <f t="shared" si="25"/>
        <v>33618</v>
      </c>
      <c r="G330" s="1667">
        <f t="shared" si="25"/>
        <v>59519</v>
      </c>
      <c r="H330" s="1667">
        <f t="shared" si="25"/>
        <v>0</v>
      </c>
      <c r="I330" s="1667">
        <f t="shared" si="25"/>
        <v>0</v>
      </c>
      <c r="J330" s="1667">
        <f t="shared" si="25"/>
        <v>0</v>
      </c>
      <c r="K330" s="1667">
        <f>SUM(K319:K329)</f>
        <v>385849</v>
      </c>
      <c r="L330" s="1667">
        <f>SUM(L319:L329)</f>
        <v>425645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147615</v>
      </c>
      <c r="D342" s="1667">
        <f>SUM(D330)</f>
        <v>7931</v>
      </c>
      <c r="E342" s="1667">
        <f>SUM(E330)</f>
        <v>137166</v>
      </c>
      <c r="F342" s="1667">
        <f>SUM(F330)</f>
        <v>33618</v>
      </c>
      <c r="G342" s="1667">
        <f>SUM(G330)</f>
        <v>59519</v>
      </c>
      <c r="H342" s="1667">
        <f>SUM(H330,H334,H340)</f>
        <v>0</v>
      </c>
      <c r="I342" s="1667">
        <f>SUM(I330)</f>
        <v>0</v>
      </c>
      <c r="J342" s="1667">
        <f>SUM(J330)</f>
        <v>0</v>
      </c>
      <c r="K342" s="1667">
        <f>SUM(K330,K334,K340)</f>
        <v>385849</v>
      </c>
      <c r="L342" s="1674">
        <f>SUM(L330,L340,L341)</f>
        <v>425645</v>
      </c>
    </row>
    <row r="343" spans="1:14" ht="12.75" customHeight="1" thickTop="1" x14ac:dyDescent="0.2">
      <c r="A343" s="2169" t="s">
        <v>996</v>
      </c>
      <c r="B343" s="2170"/>
      <c r="C343" s="613"/>
      <c r="D343" s="613"/>
      <c r="E343" s="613"/>
      <c r="F343" s="613"/>
      <c r="G343" s="613"/>
      <c r="H343" s="613"/>
      <c r="I343" s="613"/>
      <c r="J343" s="613"/>
      <c r="K343" s="1681">
        <f>'Revenues 9-14'!J268-'Expenditures 15-22'!K342</f>
        <v>-89563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9" t="s">
        <v>966</v>
      </c>
      <c r="B345" s="2160"/>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56" t="s">
        <v>996</v>
      </c>
      <c r="B368" s="2157"/>
      <c r="C368" s="651"/>
      <c r="D368" s="651"/>
      <c r="E368" s="623"/>
      <c r="F368" s="623"/>
      <c r="G368" s="623"/>
      <c r="H368" s="623"/>
      <c r="I368" s="623"/>
      <c r="J368" s="620"/>
      <c r="K368" s="1668">
        <f>'Revenues 9-14'!K268-'Expenditures 15-22'!K367</f>
        <v>66159</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3" right="0.15" top="0.86"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sharepoint/v3"/>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d21dc803-237d-4c68-8692-8d731fd29118"/>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2019-09-24T15:07:14Z</cp:lastPrinted>
  <dcterms:created xsi:type="dcterms:W3CDTF">2003-10-29T19:06:34Z</dcterms:created>
  <dcterms:modified xsi:type="dcterms:W3CDTF">2019-11-20T15:57:10Z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