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5D2BC5D-1BB0-4E4B-97E3-100AC036BF62}"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8" l="1"/>
  <c r="C71" i="5" l="1"/>
  <c r="C9" i="4" l="1"/>
  <c r="G39" i="3"/>
  <c r="L4" i="3" l="1"/>
  <c r="D25" i="181" l="1"/>
  <c r="D23" i="181"/>
  <c r="D20" i="181"/>
  <c r="D21" i="181"/>
  <c r="D22" i="181"/>
  <c r="D17" i="181"/>
  <c r="D24" i="181"/>
  <c r="I13" i="11" l="1"/>
  <c r="I12" i="11"/>
  <c r="D12" i="11"/>
  <c r="E4" i="7" l="1"/>
  <c r="E16" i="7"/>
  <c r="E14" i="7"/>
  <c r="E13" i="7"/>
  <c r="E12" i="7"/>
  <c r="E11" i="7"/>
  <c r="E10" i="7"/>
  <c r="E8" i="7"/>
  <c r="E7" i="7"/>
  <c r="E5" i="7"/>
  <c r="L215" i="29"/>
  <c r="L7" i="29"/>
  <c r="L5" i="29"/>
  <c r="D268" i="29" l="1"/>
  <c r="D267" i="29"/>
  <c r="D266" i="29"/>
  <c r="D259" i="29"/>
  <c r="D264" i="29"/>
  <c r="D241" i="29"/>
  <c r="D234" i="29"/>
  <c r="D233" i="29"/>
  <c r="D223" i="29"/>
  <c r="D218" i="29"/>
  <c r="D217" i="29"/>
  <c r="D216" i="29"/>
  <c r="E182" i="29"/>
  <c r="C124" i="29"/>
  <c r="D124" i="29"/>
  <c r="E49" i="29"/>
  <c r="J7" i="37" l="1"/>
  <c r="F38" i="181" l="1"/>
  <c r="F37" i="181"/>
  <c r="F36" i="181"/>
  <c r="F35" i="181"/>
  <c r="F34" i="181"/>
  <c r="F3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4" i="181"/>
  <c r="E34" i="181"/>
  <c r="G33" i="181"/>
  <c r="E33" i="181"/>
  <c r="G38" i="181"/>
  <c r="E38"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29" i="181" l="1"/>
  <c r="G29" i="181" s="1"/>
  <c r="F27" i="181"/>
  <c r="G27" i="181" s="1"/>
  <c r="F25" i="181"/>
  <c r="G25" i="181" s="1"/>
  <c r="F19" i="181"/>
  <c r="G19" i="181" s="1"/>
  <c r="F18" i="181"/>
  <c r="G18" i="181" s="1"/>
  <c r="D39" i="181"/>
  <c r="D80" i="36" l="1"/>
  <c r="B7797" i="106"/>
  <c r="E39" i="181"/>
  <c r="E17" i="181"/>
  <c r="F17" i="181" s="1"/>
  <c r="E16" i="181"/>
  <c r="F16" i="181" l="1"/>
  <c r="G16" i="181" s="1"/>
  <c r="G17"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B2805" i="106" s="1"/>
  <c r="D2805" i="106" s="1"/>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B7001" i="106" s="1"/>
  <c r="D7001" i="106" s="1"/>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G26" i="108"/>
  <c r="D27" i="108"/>
  <c r="E27" i="108"/>
  <c r="F27" i="108"/>
  <c r="G27" i="108"/>
  <c r="F31" i="108"/>
  <c r="G28" i="108"/>
  <c r="D31" i="108"/>
  <c r="D36" i="108"/>
  <c r="E31" i="108"/>
  <c r="G31" i="108"/>
  <c r="E33" i="108"/>
  <c r="G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D22" i="37"/>
  <c r="J22" i="37"/>
  <c r="D24" i="37"/>
  <c r="B4270" i="106" s="1"/>
  <c r="D4270" i="106" s="1"/>
  <c r="L5" i="11"/>
  <c r="B2056" i="106" s="1"/>
  <c r="D2056" i="106" s="1"/>
  <c r="F72" i="34" l="1"/>
  <c r="F34" i="34"/>
  <c r="E26" i="108"/>
  <c r="H112" i="29"/>
  <c r="B7018" i="106" s="1"/>
  <c r="D7018" i="106" s="1"/>
  <c r="F77" i="4"/>
  <c r="B3255" i="106" s="1"/>
  <c r="D3255" i="106" s="1"/>
  <c r="G15" i="145"/>
  <c r="F37" i="34"/>
  <c r="F36" i="108"/>
  <c r="I210" i="29"/>
  <c r="B7071" i="106" s="1"/>
  <c r="D7071" i="106" s="1"/>
  <c r="G14" i="4"/>
  <c r="B2609" i="106" s="1"/>
  <c r="D2609" i="106" s="1"/>
  <c r="F50" i="34"/>
  <c r="G30" i="108"/>
  <c r="J77" i="4"/>
  <c r="B6262" i="106" s="1"/>
  <c r="D6262" i="106" s="1"/>
  <c r="D6103" i="106"/>
  <c r="H365" i="29"/>
  <c r="B7242" i="106" s="1"/>
  <c r="D7242" i="106" s="1"/>
  <c r="K76" i="4"/>
  <c r="B3586" i="106" s="1"/>
  <c r="D3586" i="106" s="1"/>
  <c r="B1274" i="106"/>
  <c r="D1274" i="106" s="1"/>
  <c r="F71" i="34"/>
  <c r="G38" i="108"/>
  <c r="E30" i="108"/>
  <c r="F28" i="108"/>
  <c r="C342" i="29"/>
  <c r="B7216" i="106" s="1"/>
  <c r="D7216" i="106" s="1"/>
  <c r="L15" i="11"/>
  <c r="B3459" i="106" s="1"/>
  <c r="D3459" i="106" s="1"/>
  <c r="D69" i="36"/>
  <c r="L13" i="11"/>
  <c r="B2060" i="106" s="1"/>
  <c r="D2060" i="106" s="1"/>
  <c r="B3647" i="106"/>
  <c r="D3647" i="106" s="1"/>
  <c r="K184" i="29"/>
  <c r="F13" i="4" s="1"/>
  <c r="B2596" i="106" s="1"/>
  <c r="D2596" i="106" s="1"/>
  <c r="C129" i="29"/>
  <c r="D11" i="37"/>
  <c r="F14" i="4"/>
  <c r="B2597" i="106" s="1"/>
  <c r="D2597" i="106" s="1"/>
  <c r="D31" i="36"/>
  <c r="K41" i="3"/>
  <c r="B3568" i="106" s="1"/>
  <c r="D3568" i="106" s="1"/>
  <c r="L22" i="37"/>
  <c r="H33" i="118"/>
  <c r="D14" i="4"/>
  <c r="B2570" i="106" s="1"/>
  <c r="D2570" i="106" s="1"/>
  <c r="L367" i="29"/>
  <c r="F19" i="7"/>
  <c r="B1807" i="106" s="1"/>
  <c r="D1807" i="106" s="1"/>
  <c r="F65" i="34"/>
  <c r="G39" i="108"/>
  <c r="G29" i="108"/>
  <c r="D7245" i="106"/>
  <c r="B7047" i="106"/>
  <c r="D7047" i="106" s="1"/>
  <c r="C352" i="29"/>
  <c r="B3621" i="106" s="1"/>
  <c r="D3621" i="106" s="1"/>
  <c r="B1308" i="106"/>
  <c r="D1308" i="106" s="1"/>
  <c r="E174" i="29"/>
  <c r="B1309" i="106" s="1"/>
  <c r="D1309" i="106" s="1"/>
  <c r="B1126" i="106"/>
  <c r="D1126" i="106" s="1"/>
  <c r="D17" i="7"/>
  <c r="B4104" i="106" s="1"/>
  <c r="D4104" i="106" s="1"/>
  <c r="D37" i="108"/>
  <c r="F37" i="108"/>
  <c r="E28" i="108"/>
  <c r="D26" i="108"/>
  <c r="D41" i="108" s="1"/>
  <c r="E43" i="108" s="1"/>
  <c r="B4087" i="106"/>
  <c r="D4087" i="106" s="1"/>
  <c r="D9" i="7"/>
  <c r="B1767" i="106" s="1"/>
  <c r="D1767" i="106" s="1"/>
  <c r="H29" i="118"/>
  <c r="K28" i="118" s="1"/>
  <c r="O27" i="118" s="1"/>
  <c r="O29" i="118" s="1"/>
  <c r="N22" i="3"/>
  <c r="B283" i="106" s="1"/>
  <c r="D283" i="106" s="1"/>
  <c r="L342" i="29"/>
  <c r="F49" i="34"/>
  <c r="E29" i="108"/>
  <c r="F26" i="108"/>
  <c r="F41" i="108" s="1"/>
  <c r="G43" i="108" s="1"/>
  <c r="B3254" i="106"/>
  <c r="D3254" i="106" s="1"/>
  <c r="I24" i="12"/>
  <c r="B3649" i="106"/>
  <c r="D3649" i="106" s="1"/>
  <c r="G367" i="29"/>
  <c r="B3650" i="106" s="1"/>
  <c r="D3650" i="106" s="1"/>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0" i="106" l="1"/>
  <c r="D7254" i="106"/>
  <c r="D7252" i="106"/>
  <c r="D7256" i="106"/>
  <c r="D7251" i="106"/>
  <c r="G170" i="5"/>
  <c r="N23" i="3"/>
  <c r="B284" i="106" s="1"/>
  <c r="D284" i="106" s="1"/>
  <c r="L16" i="11"/>
  <c r="B2061" i="106" s="1"/>
  <c r="D2061" i="106" s="1"/>
  <c r="L114" i="29"/>
  <c r="C114" i="29"/>
  <c r="B757" i="106" s="1"/>
  <c r="D757" i="106" s="1"/>
  <c r="B5527" i="106"/>
  <c r="D5527" i="106" s="1"/>
  <c r="I26" i="12"/>
  <c r="B7741" i="106" s="1"/>
  <c r="D7741" i="106" s="1"/>
  <c r="B1996" i="106"/>
  <c r="D1996" i="106" s="1"/>
  <c r="D7253" i="106"/>
  <c r="F174" i="34"/>
  <c r="K342" i="29"/>
  <c r="F13" i="34"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B6230" i="106" s="1"/>
  <c r="D623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<sst xmlns="http://schemas.openxmlformats.org/spreadsheetml/2006/main" count="5092" uniqueCount="2105">
  <si>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</si>
  <si>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</si>
  <si>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</si>
  <si>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</si>
  <si>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</si>
  <si>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</si>
  <si>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</si>
  <si>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</si>
  <si>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</si>
  <si>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</si>
  <si>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</si>
  <si>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</si>
  <si>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</si>
  <si>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</si>
  <si>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</si>
  <si>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</si>
  <si>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</si>
  <si>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</si>
  <si>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</si>
  <si>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</si>
  <si>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</si>
  <si>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</si>
  <si>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</si>
  <si>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</si>
  <si>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</si>
  <si>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</si>
  <si>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</si>
  <si>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</si>
  <si>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</si>
  <si>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</si>
  <si>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</si>
  <si>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</si>
  <si>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</si>
  <si>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</si>
  <si>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</si>
  <si>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</si>
  <si>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</si>
  <si>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</si>
  <si>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</si>
  <si>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</si>
  <si>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</si>
  <si>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</si>
  <si>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</si>
  <si>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</si>
  <si>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</si>
  <si>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</si>
  <si>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</si>
  <si>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</si>
  <si>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</si>
  <si>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</si>
  <si>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</si>
  <si>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</si>
  <si>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</si>
  <si>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</si>
  <si>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</si>
  <si>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</si>
  <si>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</si>
  <si>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</si>
  <si>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</si>
  <si>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</si>
  <si>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</si>
  <si>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</si>
  <si>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</si>
  <si>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</si>
  <si>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</si>
  <si>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</si>
  <si>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</si>
  <si>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</si>
  <si>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</si>
  <si>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</si>
  <si>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</si>
  <si>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</si>
  <si>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</si>
  <si>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</si>
  <si>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</si>
  <si>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</si>
  <si>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</si>
  <si>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</si>
  <si>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</si>
  <si>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</si>
  <si>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</si>
  <si>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</si>
  <si>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</si>
  <si>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</si>
  <si>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</si>
  <si>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</si>
  <si>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</si>
  <si>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</si>
  <si>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</si>
  <si>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</si>
  <si>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</si>
  <si>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</si>
  <si>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</si>
  <si>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</si>
  <si>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</si>
  <si>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</si>
  <si>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</si>
  <si>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</si>
  <si>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</si>
  <si>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</si>
  <si>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</si>
  <si>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</si>
  <si>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</si>
  <si>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</si>
  <si>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</si>
  <si>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</si>
  <si>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</si>
  <si>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</si>
  <si>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</si>
  <si>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</si>
  <si>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</si>
  <si>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</si>
  <si>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</si>
  <si>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</si>
  <si>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</si>
  <si>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</si>
  <si>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</si>
  <si>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</si>
  <si>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</si>
  <si>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</si>
  <si>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</si>
  <si>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</si>
  <si>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</si>
  <si>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</si>
  <si>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</si>
  <si>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</si>
  <si>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</si>
  <si>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</si>
  <si>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</si>
  <si>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</si>
  <si>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</si>
  <si>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</si>
  <si>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</si>
  <si>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</si>
  <si>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</si>
  <si>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</si>
  <si>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</si>
  <si>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</si>
  <si>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</si>
  <si>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</si>
  <si>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</si>
  <si>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</si>
  <si>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</si>
  <si>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</si>
  <si>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</si>
  <si>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</si>
  <si>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</si>
  <si>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</si>
  <si>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</si>
  <si>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</si>
  <si>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</si>
  <si>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</si>
  <si>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</si>
  <si>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</si>
  <si>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</si>
  <si>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</si>
  <si>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</si>
  <si>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</si>
  <si>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</si>
  <si>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</si>
  <si>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</si>
  <si>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</si>
  <si>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</si>
  <si>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</si>
  <si>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</si>
  <si>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</si>
  <si>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</si>
  <si>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</si>
  <si>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</si>
  <si>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</si>
  <si>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</si>
  <si>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</si>
  <si>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</si>
  <si>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</si>
  <si>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</si>
  <si>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</si>
  <si>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</si>
  <si>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</si>
  <si>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</si>
  <si>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</si>
  <si>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</si>
  <si>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</si>
  <si>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</si>
  <si>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</si>
  <si>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</si>
  <si>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</si>
  <si>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</si>
  <si>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</si>
  <si>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</si>
  <si>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</si>
  <si>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</si>
  <si>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</si>
  <si>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</si>
  <si>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</si>
  <si>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</si>
  <si>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</si>
  <si>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</si>
  <si>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</si>
  <si>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</si>
  <si>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</si>
  <si>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</si>
  <si>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</si>
  <si>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</si>
  <si>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</si>
  <si>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</si>
  <si>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</si>
  <si>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</si>
  <si>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</si>
  <si>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</si>
  <si>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</si>
  <si>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</si>
  <si>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</si>
  <si>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</si>
  <si>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</si>
  <si>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</si>
  <si>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</si>
  <si>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</si>
  <si>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</si>
  <si>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</si>
  <si>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</si>
  <si>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</si>
  <si>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</si>
  <si>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</si>
  <si>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</si>
  <si>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</si>
  <si>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</si>
  <si>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</si>
  <si>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</si>
  <si>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</si>
  <si>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</si>
  <si>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</si>
  <si>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</si>
  <si>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</si>
  <si>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</si>
  <si>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</si>
  <si>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</si>
  <si>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</si>
  <si>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</si>
  <si>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</si>
  <si>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</si>
  <si>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</si>
  <si>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</si>
  <si>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</si>
  <si>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</si>
  <si>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</si>
  <si>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</si>
  <si>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</si>
  <si>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</si>
  <si>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</si>
  <si>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</si>
  <si>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</si>
  <si>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</si>
  <si>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</si>
  <si>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</si>
  <si>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</si>
  <si>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</si>
  <si>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</si>
  <si>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</si>
  <si>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</si>
  <si>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</si>
  <si>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</si>
  <si>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</si>
  <si>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</si>
  <si>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</si>
  <si>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</si>
  <si>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</si>
  <si>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</si>
  <si>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</si>
  <si>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</si>
  <si>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</si>
  <si>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</si>
  <si>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</si>
  <si>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</si>
  <si>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</si>
  <si>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</si>
  <si>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</si>
  <si>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</si>
  <si>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</si>
  <si>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</si>
  <si>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</si>
  <si>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</si>
  <si>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</si>
  <si>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</si>
  <si>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</si>
  <si>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</si>
  <si>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</si>
  <si>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</si>
  <si>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</si>
  <si>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</si>
  <si>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</si>
  <si>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</si>
  <si>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</si>
  <si>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</si>
  <si>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</si>
  <si>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</si>
  <si>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</si>
  <si>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</si>
  <si>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</si>
  <si>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</si>
  <si>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</si>
  <si>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</si>
  <si>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</si>
  <si>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</si>
  <si>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</si>
  <si>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</si>
  <si>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</si>
  <si>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</si>
  <si>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</si>
  <si>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</si>
  <si>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</si>
  <si>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</si>
  <si>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</si>
  <si>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</si>
  <si>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</si>
  <si>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</si>
  <si>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</si>
  <si>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</si>
  <si>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</si>
  <si>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</si>
  <si>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</si>
  <si>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</si>
  <si>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</si>
  <si>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</si>
  <si>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</si>
  <si>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</si>
  <si>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</si>
  <si>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</si>
  <si>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</si>
  <si>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</si>
  <si>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</si>
  <si>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</si>
  <si>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</si>
  <si>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</si>
  <si>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</si>
  <si>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</si>
  <si>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</si>
  <si>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</si>
  <si>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</si>
  <si>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</si>
  <si>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</si>
  <si>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</si>
  <si>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</si>
  <si>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</si>
  <si>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</si>
  <si>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</si>
  <si>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</si>
  <si>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</si>
  <si>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</si>
  <si>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</si>
  <si>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</si>
  <si>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</si>
  <si>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</si>
  <si>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</si>
  <si>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</si>
  <si>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</si>
  <si>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</si>
  <si>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</si>
  <si>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</si>
  <si>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</si>
  <si>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</si>
  <si>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</si>
  <si>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</si>
  <si>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</si>
  <si>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</si>
  <si>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</si>
  <si>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</si>
  <si>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</si>
  <si>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</si>
  <si>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</si>
  <si>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</si>
  <si>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</si>
  <si>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</si>
  <si>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</si>
  <si>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</si>
  <si>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</si>
  <si>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</si>
  <si>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</si>
  <si>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</si>
  <si>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</si>
  <si>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</si>
  <si>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</si>
  <si>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</si>
  <si>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</si>
  <si>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</si>
  <si>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</si>
  <si>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</si>
  <si>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</si>
  <si>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</si>
  <si>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</si>
  <si>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</si>
  <si>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</si>
  <si>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</si>
  <si>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</si>
  <si>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</si>
  <si>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</si>
  <si>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</si>
  <si>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</si>
  <si>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</si>
  <si>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</si>
  <si>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</si>
  <si>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</si>
  <si>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</si>
  <si>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</si>
  <si>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</si>
  <si>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</si>
  <si>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</si>
  <si>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</si>
  <si>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</si>
  <si>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</si>
  <si>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</si>
  <si>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</si>
  <si>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</si>
  <si>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</si>
  <si>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</si>
  <si>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</si>
  <si>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</si>
  <si>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</si>
  <si>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</si>
  <si>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</si>
  <si>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</si>
  <si>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</si>
  <si>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</si>
  <si>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</si>
  <si>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</si>
  <si>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</si>
  <si>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</si>
  <si>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</si>
  <si>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</si>
  <si>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</si>
  <si>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</si>
  <si>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</si>
  <si>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</si>
  <si>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</si>
  <si>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</si>
  <si>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</si>
  <si>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</si>
  <si>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</si>
  <si>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</si>
  <si>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</si>
  <si>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</si>
  <si>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</si>
  <si>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</si>
  <si>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</si>
  <si>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</si>
  <si>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</si>
  <si>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</si>
  <si>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</si>
  <si>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</si>
  <si>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</si>
  <si>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</si>
  <si>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</si>
  <si>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</si>
  <si>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</si>
  <si>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</si>
  <si>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</si>
  <si>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</si>
  <si>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</si>
  <si>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</si>
  <si>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</si>
  <si>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</si>
  <si>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</si>
  <si>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</si>
  <si>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</si>
  <si>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</si>
  <si>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</si>
  <si>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</si>
  <si>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</si>
  <si>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</si>
  <si>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</si>
  <si>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</si>
  <si>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</si>
  <si>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</si>
  <si>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</si>
  <si>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</si>
  <si>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</si>
  <si>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</si>
  <si>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</si>
  <si>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</si>
  <si>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</si>
  <si>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</si>
  <si>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</si>
  <si>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</si>
  <si>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</si>
  <si>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</si>
  <si>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</si>
  <si>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</si>
  <si>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</si>
  <si>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</si>
  <si>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</si>
  <si>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</si>
  <si>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</si>
  <si>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</si>
  <si>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</si>
  <si>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</si>
  <si>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</si>
  <si>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</si>
  <si>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</si>
  <si>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</si>
  <si>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</si>
  <si>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</si>
  <si>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</si>
  <si>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</si>
  <si>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</si>
  <si>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</si>
  <si>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</si>
  <si>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</si>
  <si>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</si>
  <si>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</si>
  <si>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</si>
  <si>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</si>
  <si>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</si>
  <si>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</si>
  <si>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</si>
  <si>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</si>
  <si>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</si>
  <si>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</si>
  <si>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</si>
  <si>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</si>
  <si>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</si>
  <si>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</si>
  <si>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</si>
  <si>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</si>
  <si>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</si>
  <si>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</si>
  <si>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</si>
  <si>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</si>
  <si>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</si>
  <si>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</si>
  <si>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</si>
  <si>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</si>
  <si>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</si>
  <si>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</si>
  <si>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</si>
  <si>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</si>
  <si>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</si>
  <si>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</si>
  <si>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</si>
  <si>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</si>
  <si>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</si>
  <si>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</si>
  <si>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</si>
  <si>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</si>
  <si>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</si>
  <si>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</si>
  <si>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</si>
  <si>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</si>
  <si>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</si>
  <si>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</si>
  <si>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</si>
  <si>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</si>
  <si>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</si>
  <si>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</si>
  <si>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</si>
  <si>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</si>
  <si>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</si>
  <si>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</si>
  <si>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</si>
  <si>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</si>
  <si>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</si>
  <si>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</si>
  <si>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</si>
  <si>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</si>
  <si>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</si>
  <si>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</si>
  <si>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</si>
  <si>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</si>
  <si>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</si>
  <si>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</si>
  <si>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</si>
  <si>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</si>
  <si>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</si>
  <si>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</si>
  <si>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</si>
  <si>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</si>
  <si>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</si>
  <si>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</si>
  <si>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</si>
  <si>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</si>
  <si>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</si>
  <si>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</si>
  <si>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</si>
  <si>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</si>
  <si>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</si>
  <si>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</si>
  <si>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</si>
  <si>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</si>
  <si>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</si>
  <si>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</si>
  <si>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</si>
  <si>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</si>
  <si>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</si>
  <si>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</si>
  <si>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</si>
  <si>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</si>
  <si>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</si>
  <si>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</si>
  <si>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</si>
  <si>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</si>
  <si>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</si>
  <si>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</si>
  <si>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</si>
  <si>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</si>
  <si>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</si>
  <si>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</si>
  <si>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</si>
  <si>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</si>
  <si>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</si>
  <si>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</si>
  <si>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</si>
  <si>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</si>
  <si>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</si>
  <si>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</si>
  <si>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</si>
  <si>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</si>
  <si>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</si>
  <si>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</si>
  <si>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</si>
  <si>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</si>
  <si>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</si>
  <si>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</si>
  <si>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</si>
  <si>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</si>
  <si>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</si>
  <si>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</si>
  <si>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</si>
  <si>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</si>
  <si>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</si>
  <si>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</si>
  <si>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</si>
  <si>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</si>
  <si>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</si>
  <si>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</si>
  <si>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</si>
  <si>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</si>
  <si>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</si>
  <si>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</si>
  <si>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</si>
  <si>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</si>
  <si>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</si>
  <si>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</si>
  <si>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</si>
  <si>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</si>
  <si>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</si>
  <si>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</si>
  <si>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</si>
  <si>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</si>
  <si>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</si>
  <si>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</si>
  <si>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</si>
  <si>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</si>
  <si>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</si>
  <si>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</si>
  <si>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</si>
  <si>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</si>
  <si>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</si>
  <si>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</si>
  <si>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</si>
  <si>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</si>
  <si>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</si>
  <si>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</si>
  <si>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</si>
  <si>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</si>
  <si>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</si>
  <si>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</si>
  <si>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</si>
  <si>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</si>
  <si>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</si>
  <si>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</si>
  <si>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</si>
  <si>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</si>
  <si>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</si>
  <si>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</si>
  <si>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</si>
  <si>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</si>
  <si>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</si>
  <si>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</si>
  <si>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</si>
  <si>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</si>
  <si>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</si>
  <si>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</si>
  <si>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</si>
  <si>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</si>
  <si>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</si>
  <si>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</si>
  <si>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</si>
  <si>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</si>
  <si>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</si>
  <si>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</si>
  <si>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</si>
  <si>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</si>
  <si>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</si>
  <si>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</si>
  <si>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</si>
  <si>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</si>
  <si>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</si>
  <si>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</si>
  <si>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</si>
  <si>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</si>
  <si>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</si>
  <si>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</si>
  <si>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</si>
  <si>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</si>
  <si>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</si>
  <si>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</si>
  <si>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</si>
  <si>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</si>
  <si>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</si>
  <si>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</si>
  <si>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</si>
  <si>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</si>
  <si>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</si>
  <si>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</si>
  <si>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</si>
  <si>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</si>
  <si>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</si>
  <si>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</si>
  <si>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</si>
  <si>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</si>
  <si>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</si>
  <si>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</si>
  <si>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</si>
  <si>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</si>
  <si>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</si>
  <si>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</si>
  <si>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</si>
  <si>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</si>
  <si>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</si>
  <si>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</si>
  <si>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</si>
  <si>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</si>
  <si>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</si>
  <si>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</si>
  <si>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</si>
  <si>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</si>
  <si>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</si>
  <si>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</si>
  <si>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</si>
  <si>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</si>
  <si>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</si>
  <si>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</si>
  <si>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</si>
  <si>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</si>
  <si>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</si>
  <si>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</si>
  <si>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</si>
  <si>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</si>
  <si>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</si>
  <si>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</si>
  <si>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</si>
  <si>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</si>
  <si>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</si>
  <si>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</si>
  <si>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</si>
  <si>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</si>
  <si>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</si>
  <si>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</si>
  <si>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</si>
  <si>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</si>
  <si>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</si>
  <si>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</si>
  <si>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</si>
  <si>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</si>
  <si>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</si>
  <si>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</si>
  <si>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</si>
  <si>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</si>
  <si>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</si>
  <si>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</si>
  <si>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</si>
  <si>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</si>
  <si>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</si>
  <si>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</si>
  <si>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</si>
  <si>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</si>
  <si>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</si>
  <si>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</si>
  <si>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</si>
  <si>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</si>
  <si>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</si>
  <si>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</si>
  <si>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</si>
  <si>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</si>
  <si>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</si>
  <si>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</si>
  <si>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</si>
  <si>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</si>
  <si>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</si>
  <si>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</si>
  <si>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</si>
  <si>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</si>
  <si>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</si>
  <si>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</si>
  <si>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</si>
  <si>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</si>
  <si>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</si>
  <si>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</si>
  <si>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</si>
  <si>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</si>
  <si>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</si>
  <si>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</si>
  <si>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</si>
  <si>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</si>
  <si>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</si>
  <si>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</si>
  <si>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</si>
  <si>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</si>
  <si>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</si>
  <si>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</si>
  <si>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</si>
  <si>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</si>
  <si>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</si>
  <si>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</si>
  <si>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</si>
  <si>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</si>
  <si>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</si>
  <si>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</si>
  <si>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</si>
  <si>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</si>
  <si>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</si>
  <si>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</si>
  <si>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</si>
  <si>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</si>
  <si>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</si>
  <si>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</si>
  <si>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</si>
  <si>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</si>
  <si>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</si>
  <si>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</si>
  <si>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</si>
  <si>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</si>
  <si>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</si>
  <si>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</si>
  <si>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</si>
  <si>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</si>
  <si>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</si>
  <si>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</si>
  <si>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</si>
  <si>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</si>
  <si>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</si>
  <si>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</si>
  <si>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</si>
  <si>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</si>
  <si>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</si>
  <si>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</si>
  <si>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</si>
  <si>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</si>
  <si>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</si>
  <si>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</si>
  <si>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</si>
  <si>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</si>
  <si>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</si>
  <si>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</si>
  <si>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</si>
  <si>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</si>
  <si>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</si>
  <si>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</si>
  <si>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</si>
  <si>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</si>
  <si>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</si>
  <si>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</si>
  <si>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</si>
  <si>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</si>
  <si>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</si>
  <si>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</si>
  <si>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</si>
  <si>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</si>
  <si>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</si>
  <si>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</si>
  <si>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</si>
  <si>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</si>
  <si>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</si>
  <si>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</si>
  <si>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</si>
  <si>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</si>
  <si>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</si>
  <si>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</si>
  <si>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</si>
  <si>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</si>
  <si>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</si>
  <si>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</si>
  <si>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</si>
  <si>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</si>
  <si>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</si>
  <si>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</si>
  <si>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</si>
  <si>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</si>
  <si>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</si>
  <si>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</si>
  <si>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</si>
  <si>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</si>
  <si>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</si>
  <si>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</si>
  <si>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</si>
  <si>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</si>
  <si>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</si>
  <si>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</si>
  <si>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</si>
  <si>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</si>
  <si>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</si>
  <si>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</si>
  <si>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</si>
  <si>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</si>
  <si>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</si>
  <si>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</si>
  <si>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</si>
  <si>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</si>
  <si>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</si>
  <si>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</si>
  <si>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</si>
  <si>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</si>
  <si>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</si>
  <si>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</si>
  <si>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</si>
  <si>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</si>
  <si>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</si>
  <si>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</si>
  <si>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</si>
  <si>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</si>
  <si>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</si>
  <si>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</si>
  <si>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</si>
  <si>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</si>
  <si>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</si>
  <si>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</si>
  <si>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</si>
  <si>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</si>
  <si>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</si>
  <si>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</si>
  <si>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</si>
  <si>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</si>
  <si>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</si>
  <si>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</si>
  <si>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</si>
  <si>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</si>
  <si>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</si>
  <si>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</si>
  <si>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</si>
  <si>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</si>
  <si>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</si>
  <si>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</si>
  <si>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</si>
  <si>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</si>
  <si>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</si>
  <si>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</si>
  <si>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</si>
  <si>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</si>
  <si>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</si>
  <si>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</si>
  <si>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</si>
  <si>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</si>
  <si>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</si>
  <si>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</si>
  <si>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</si>
  <si>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</si>
  <si>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</si>
  <si>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</si>
  <si>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</si>
  <si>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</si>
  <si>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</si>
  <si>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</si>
  <si>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</si>
  <si>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</si>
  <si>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</si>
  <si>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</si>
  <si>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</si>
  <si>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</si>
  <si>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</si>
  <si>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</si>
  <si>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</si>
  <si>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</si>
  <si>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</si>
  <si>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</si>
  <si>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</si>
  <si>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</si>
  <si>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</si>
  <si>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</si>
  <si>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</si>
  <si>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</si>
  <si>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</si>
  <si>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</si>
  <si>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</si>
  <si>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</si>
  <si>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</si>
  <si>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</si>
  <si>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</si>
  <si>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</si>
  <si>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</si>
  <si>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</si>
  <si>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</si>
  <si>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</si>
  <si>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</si>
  <si>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</si>
  <si>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</si>
  <si>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</si>
  <si>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</si>
  <si>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</si>
  <si>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</si>
  <si>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</si>
  <si>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</si>
  <si>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</si>
  <si>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</si>
  <si>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</si>
  <si>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</si>
  <si>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</si>
  <si>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</si>
  <si>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</si>
  <si>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</si>
  <si>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</si>
  <si>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</si>
  <si>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</si>
  <si>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</si>
  <si>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</si>
  <si>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</si>
  <si>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</si>
  <si>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</si>
  <si>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</si>
  <si>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</si>
  <si>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</si>
  <si>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</si>
  <si>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</si>
  <si>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</si>
  <si>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</si>
  <si>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</si>
  <si>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</si>
  <si>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</si>
  <si>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</si>
  <si>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</si>
  <si>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</si>
  <si>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</si>
  <si>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</si>
  <si>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</si>
  <si>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</si>
  <si>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</si>
  <si>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</si>
  <si>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</si>
  <si>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</si>
  <si>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</si>
  <si>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</si>
  <si>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</si>
  <si>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</si>
  <si>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</si>
  <si>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</si>
  <si>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</si>
  <si>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</si>
  <si>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</si>
  <si>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</si>
  <si>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</si>
  <si>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</si>
  <si>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</si>
  <si>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</si>
  <si>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</si>
  <si>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</si>
  <si>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</si>
  <si>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</si>
  <si>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</si>
  <si>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</si>
  <si>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</si>
  <si>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</si>
  <si>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</si>
  <si>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</si>
  <si>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</si>
  <si>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</si>
  <si>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</si>
  <si>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</si>
  <si>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</si>
  <si>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</si>
  <si>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</si>
  <si>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</si>
  <si>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</si>
  <si>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</si>
  <si>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</si>
  <si>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</si>
  <si>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</si>
  <si>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</si>
  <si>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</si>
  <si>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</si>
  <si>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</si>
  <si>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</si>
  <si>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</si>
  <si>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</si>
  <si>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</si>
  <si>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</si>
  <si>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</si>
  <si>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</si>
  <si>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</si>
  <si>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</si>
  <si>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</si>
  <si>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</si>
  <si>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</si>
  <si>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</si>
  <si>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</si>
  <si>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</si>
  <si>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</si>
  <si>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</si>
  <si>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</si>
  <si>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</si>
  <si>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</si>
  <si>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</si>
  <si>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</si>
  <si>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</si>
  <si>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</si>
  <si>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</si>
  <si>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</si>
  <si>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</si>
  <si>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</si>
  <si>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</si>
  <si>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</si>
  <si>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</si>
  <si>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</si>
  <si>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</si>
  <si>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</si>
  <si>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</si>
  <si>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</si>
  <si>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</si>
  <si>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</si>
  <si>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</si>
  <si>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</si>
  <si>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</si>
  <si>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</si>
  <si>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</si>
  <si>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</si>
  <si>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</si>
  <si>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</si>
  <si>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</si>
  <si>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</si>
  <si>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</si>
  <si>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</si>
  <si>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</si>
  <si>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</si>
  <si>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</si>
  <si>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</si>
  <si>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</si>
  <si>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</si>
  <si>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</si>
  <si>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</si>
  <si>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</si>
  <si>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</si>
  <si>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</si>
  <si>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</si>
  <si>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</si>
  <si>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</si>
  <si>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</si>
  <si>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</si>
  <si>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</si>
  <si>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</si>
  <si>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</si>
  <si>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</si>
  <si>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</si>
  <si>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</si>
  <si>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</si>
  <si>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</si>
  <si>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</si>
  <si>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</si>
  <si>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</si>
  <si>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</si>
  <si>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</si>
  <si>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</si>
  <si>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</si>
  <si>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</si>
  <si>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</si>
  <si>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</si>
  <si>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</si>
  <si>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</si>
  <si>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</si>
  <si>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</si>
  <si>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</si>
  <si>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</si>
  <si>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</si>
  <si>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</si>
  <si>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</si>
  <si>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</si>
  <si>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</si>
  <si>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</si>
  <si>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</si>
  <si>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</si>
  <si>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</si>
  <si>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</si>
  <si>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</si>
  <si>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</si>
  <si>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</si>
  <si>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</si>
  <si>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</si>
  <si>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</si>
  <si>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</si>
  <si>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</si>
  <si>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</si>
  <si>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</si>
  <si>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</si>
  <si>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</si>
  <si>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</si>
  <si>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</si>
  <si>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</si>
  <si>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</si>
  <si>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</si>
  <si>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</si>
  <si>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</si>
  <si>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</si>
  <si>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</si>
  <si>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</si>
  <si>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</si>
  <si>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</si>
  <si>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</si>
  <si>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</si>
  <si>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</si>
  <si>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</si>
  <si>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</si>
  <si>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</si>
  <si>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</si>
  <si>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</si>
  <si>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</si>
  <si>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</si>
  <si>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</si>
  <si>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</si>
  <si>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</si>
  <si>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</si>
  <si>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</si>
  <si>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</si>
  <si>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</si>
  <si>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</si>
  <si>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</si>
  <si>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</si>
  <si>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</si>
  <si>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</si>
  <si>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</si>
  <si>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</si>
  <si>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</si>
  <si>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</si>
  <si>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</si>
  <si>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</si>
  <si>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</si>
  <si>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</si>
  <si>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</si>
  <si>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</si>
  <si>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</si>
  <si>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</si>
  <si>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</si>
  <si>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</si>
  <si>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</si>
  <si>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</si>
  <si>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</si>
  <si>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</si>
  <si>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</si>
  <si>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</si>
  <si>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</si>
  <si>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</si>
  <si>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</si>
  <si>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</si>
  <si>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</si>
  <si>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</si>
  <si>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</si>
  <si>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</si>
  <si>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</si>
  <si>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</si>
  <si>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</si>
  <si>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</si>
  <si>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</si>
  <si>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</si>
  <si>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</si>
  <si>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</si>
  <si>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</si>
  <si>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</si>
  <si>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</si>
  <si>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</si>
  <si>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</si>
  <si>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</si>
  <si>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</si>
  <si>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</si>
  <si>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</si>
  <si>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</si>
  <si>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</si>
  <si>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</si>
  <si>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</si>
  <si>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</si>
  <si>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</si>
  <si>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</si>
  <si>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</si>
  <si>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</si>
  <si>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</si>
  <si>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</si>
  <si>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</si>
  <si>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</si>
  <si>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</si>
  <si>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</si>
  <si>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</si>
  <si>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</si>
  <si>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</si>
  <si>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</si>
  <si>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</si>
  <si>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</si>
  <si>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</si>
  <si>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</si>
  <si>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</si>
  <si>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</si>
  <si>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</si>
  <si>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</si>
  <si>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</si>
  <si>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</si>
  <si>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</si>
  <si>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</si>
  <si>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</si>
  <si>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</si>
  <si>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</si>
  <si>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</si>
  <si>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</si>
  <si>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</si>
  <si>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</si>
  <si>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</si>
  <si>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</si>
  <si>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</si>
  <si>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</si>
  <si>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</si>
  <si>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</si>
  <si>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</si>
  <si>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</si>
  <si>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</si>
  <si>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</si>
  <si>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</si>
  <si>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</si>
  <si>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</si>
  <si>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</si>
  <si>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</si>
  <si>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</si>
  <si>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</si>
  <si>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</si>
  <si>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</si>
  <si>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</si>
  <si>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</si>
  <si>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</si>
  <si>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</si>
  <si>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</si>
  <si>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</si>
  <si>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</si>
  <si>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</si>
  <si>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</si>
  <si>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</si>
  <si>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</si>
  <si>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</si>
  <si>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</si>
  <si>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</si>
  <si>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</si>
  <si>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</si>
  <si>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</si>
  <si>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</si>
  <si>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</si>
  <si>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</si>
  <si>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</si>
  <si>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</si>
  <si>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</si>
  <si>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</si>
  <si>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</si>
  <si>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</si>
  <si>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</si>
  <si>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</si>
  <si>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</si>
  <si>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</si>
  <si>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</si>
  <si>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</si>
  <si>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</si>
  <si>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</si>
  <si>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</si>
  <si>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</si>
  <si>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</si>
  <si>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</si>
  <si>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</si>
  <si>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</si>
  <si>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</si>
  <si>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</si>
  <si>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</si>
  <si>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</si>
  <si>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</si>
  <si>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</si>
  <si>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</si>
  <si>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</si>
  <si>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</si>
  <si>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</si>
  <si>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</si>
  <si>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</si>
  <si>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</si>
  <si>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</si>
  <si>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</si>
  <si>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</si>
  <si>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</si>
  <si>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</si>
  <si>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</si>
  <si>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</si>
  <si>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</si>
  <si>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</si>
  <si>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</si>
  <si>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</si>
  <si>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</si>
  <si>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</si>
  <si>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</si>
  <si>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</si>
  <si>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</si>
  <si>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</si>
  <si>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</si>
  <si>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</si>
  <si>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</si>
  <si>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</si>
  <si>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</si>
  <si>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</si>
  <si>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</si>
  <si>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</si>
  <si>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</si>
  <si>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</si>
  <si>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</si>
  <si>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</si>
  <si>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</si>
  <si>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</si>
  <si>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</si>
  <si>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</si>
  <si>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</si>
  <si>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</si>
  <si>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</si>
  <si>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</si>
  <si>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</si>
  <si>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</si>
  <si>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</si>
  <si>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</si>
  <si>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</si>
  <si>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</si>
  <si>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</si>
  <si>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</si>
  <si>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</si>
  <si>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</si>
  <si>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</si>
  <si>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</si>
  <si>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</si>
  <si>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</si>
  <si>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</si>
  <si>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</si>
  <si>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</si>
  <si>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</si>
  <si>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</si>
  <si>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</si>
  <si>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</si>
  <si>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</si>
  <si>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</si>
  <si>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</si>
  <si>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</si>
  <si>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</si>
  <si>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</si>
  <si>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</si>
  <si>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</si>
  <si>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</si>
  <si>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</si>
  <si>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</si>
  <si>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</si>
  <si>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</si>
  <si>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</si>
  <si>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</si>
  <si>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</si>
  <si>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</si>
  <si>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</si>
  <si>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</si>
  <si>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</si>
  <si>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</si>
  <si>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</si>
  <si>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</si>
  <si>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</si>
  <si>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</si>
  <si>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</si>
  <si>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</si>
  <si>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</si>
  <si>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</si>
  <si>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</si>
  <si>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</si>
  <si>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</si>
  <si>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</si>
  <si>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</si>
  <si>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</si>
  <si>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</si>
  <si>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</si>
  <si>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</si>
  <si>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</si>
  <si>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</si>
  <si>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</si>
  <si>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</si>
  <si>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</si>
  <si>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</si>
  <si>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</si>
  <si>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</si>
  <si>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</si>
  <si>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</si>
  <si>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</si>
  <si>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</si>
  <si>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</si>
  <si>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</si>
  <si>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</si>
  <si>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</si>
  <si>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</si>
  <si>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</si>
  <si>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</si>
  <si>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</si>
  <si>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</si>
  <si>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</si>
  <si>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</si>
  <si>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</si>
  <si>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</si>
  <si>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</si>
  <si>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</si>
  <si>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</si>
  <si>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</si>
  <si>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</si>
  <si>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</si>
  <si>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</si>
  <si>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</si>
  <si>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</si>
  <si>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</si>
  <si>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</si>
  <si>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</si>
  <si>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</si>
  <si>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</si>
  <si>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</si>
  <si>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</si>
  <si>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</si>
  <si>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</si>
  <si>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</si>
  <si>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</si>
  <si>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</si>
  <si>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</si>
  <si>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</si>
  <si>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</si>
  <si>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</si>
  <si>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</si>
  <si>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</si>
  <si>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</si>
  <si>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</si>
  <si>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</si>
  <si>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</si>
  <si>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</si>
  <si>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</si>
  <si>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</si>
  <si>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</si>
  <si>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</si>
  <si>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</si>
  <si>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</si>
  <si>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</si>
  <si>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</si>
  <si>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</si>
  <si>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</si>
  <si>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</si>
  <si>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</si>
  <si>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</si>
  <si>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</si>
  <si>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</si>
  <si>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</si>
  <si>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</si>
  <si>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</si>
  <si>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</si>
  <si>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</si>
  <si>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</si>
  <si>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</si>
  <si>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</si>
  <si>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</si>
  <si>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</si>
  <si>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</si>
  <si>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</si>
  <si>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</si>
  <si>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</si>
  <si>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</si>
  <si>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</si>
  <si>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</si>
  <si>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</si>
  <si>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</si>
  <si>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</si>
  <si>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</si>
  <si>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</si>
  <si>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</si>
  <si>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</si>
  <si>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</si>
  <si>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</si>
  <si>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</si>
  <si>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</si>
  <si>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</si>
  <si>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</si>
  <si>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</si>
  <si>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</si>
  <si>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</si>
  <si>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</si>
  <si>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</si>
  <si>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</si>
  <si>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</si>
  <si>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</si>
  <si>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</si>
  <si>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</si>
  <si>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</si>
  <si>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</si>
  <si>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</si>
  <si>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</si>
  <si>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</si>
  <si>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</si>
  <si>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</si>
  <si>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</si>
  <si>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</si>
  <si>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</si>
  <si>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</si>
  <si>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</si>
  <si>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</si>
  <si>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</si>
  <si>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</si>
  <si>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</si>
  <si>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</si>
  <si>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</si>
  <si>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</si>
  <si>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</si>
  <si>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</si>
  <si>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</si>
  <si>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</si>
  <si>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</si>
  <si>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</si>
  <si>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</si>
  <si>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</si>
  <si>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</si>
  <si>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</si>
  <si>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</si>
  <si>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</si>
  <si>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</si>
  <si>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</si>
  <si>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</si>
  <si>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</si>
  <si>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</si>
  <si>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</si>
  <si>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</si>
  <si>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</si>
  <si>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</si>
  <si>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</si>
  <si>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</si>
  <si>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</si>
  <si>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</si>
  <si>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</si>
  <si>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</si>
  <si>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</si>
  <si>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</si>
  <si>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</si>
  <si>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</si>
  <si>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</si>
  <si>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</si>
  <si>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</si>
  <si>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</si>
  <si>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</si>
  <si>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</si>
  <si>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</si>
  <si>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</si>
  <si>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</si>
  <si>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</si>
  <si>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</si>
  <si>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</si>
  <si>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</si>
  <si>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</si>
  <si>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</si>
  <si>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</si>
  <si>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</si>
  <si>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</si>
  <si>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</si>
  <si>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</si>
  <si>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</si>
  <si>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</si>
  <si>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</si>
  <si>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</si>
  <si>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</si>
  <si>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</si>
  <si>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</si>
  <si>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</si>
  <si>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</si>
  <si>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</si>
  <si>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</si>
  <si>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</si>
  <si>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</si>
  <si>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</si>
  <si>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</si>
  <si>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</si>
  <si>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</si>
  <si>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</si>
  <si>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</si>
  <si>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</si>
  <si>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</si>
  <si>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</si>
  <si>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</si>
  <si>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</si>
  <si>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</si>
  <si>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</si>
  <si>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</si>
  <si>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</si>
  <si>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</si>
  <si>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</si>
  <si>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</si>
  <si>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</si>
  <si>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</si>
  <si>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</si>
  <si>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</si>
  <si>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</si>
  <si>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</si>
  <si>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</si>
  <si>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</si>
  <si>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</si>
  <si>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</si>
  <si>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</si>
  <si>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</si>
  <si>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</si>
  <si>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</si>
  <si>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</si>
  <si>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</si>
  <si>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</si>
  <si>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</si>
  <si>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</si>
  <si>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</si>
  <si>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</si>
  <si>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</si>
  <si>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</si>
  <si>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</si>
  <si>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</si>
  <si>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</si>
  <si>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</si>
  <si>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</si>
  <si>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</si>
  <si>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</si>
  <si>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</si>
  <si>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</si>
  <si>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</si>
  <si>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</si>
  <si>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</si>
  <si>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</si>
  <si>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</si>
  <si>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</si>
  <si>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</si>
  <si>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</si>
  <si>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</si>
  <si>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</si>
  <si>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</si>
  <si>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</si>
  <si>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</si>
  <si>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</si>
  <si>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</si>
  <si>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</si>
  <si>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</si>
  <si>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</si>
  <si>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</si>
  <si>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</si>
  <si>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</si>
  <si>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</si>
  <si>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</si>
  <si>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</si>
  <si>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</si>
  <si>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</si>
  <si>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</si>
  <si>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</si>
  <si>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</si>
  <si>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</si>
  <si>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</si>
  <si>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</si>
  <si>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</si>
  <si>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</si>
  <si>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</si>
  <si>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</si>
  <si>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</si>
  <si>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</si>
  <si>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</si>
  <si>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</si>
  <si>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</si>
  <si>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</si>
  <si>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</si>
  <si>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</si>
  <si>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</si>
  <si>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</si>
  <si>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</si>
  <si>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</si>
  <si>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</si>
  <si>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</si>
  <si>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</si>
  <si>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</si>
  <si>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</si>
  <si>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</si>
  <si>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</si>
  <si>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</si>
  <si>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</si>
  <si>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</si>
  <si>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</si>
  <si>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</si>
  <si>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</si>
  <si>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</si>
  <si>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</si>
  <si>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</si>
  <si>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</si>
  <si>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</si>
  <si>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</si>
  <si>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</si>
  <si>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</si>
  <si>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</si>
  <si>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</si>
  <si>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</si>
  <si>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</si>
  <si>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</si>
  <si>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</si>
  <si>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</si>
  <si>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</si>
  <si>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</si>
  <si>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</si>
  <si>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</si>
  <si>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</si>
  <si>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</si>
  <si>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</si>
  <si>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</si>
  <si>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</si>
  <si>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</si>
  <si>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</si>
  <si>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</si>
  <si>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</si>
  <si>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</si>
  <si>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</si>
  <si>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</si>
  <si>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</si>
  <si>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</si>
  <si>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</si>
  <si>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</si>
  <si>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</si>
  <si>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</si>
  <si>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</si>
  <si>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</si>
  <si>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</si>
  <si>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</si>
  <si>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</si>
  <si>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</si>
  <si>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</si>
  <si>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</si>
  <si>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</si>
  <si>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</si>
  <si>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</si>
  <si>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</si>
  <si>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</si>
  <si>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</si>
  <si>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</si>
  <si>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</si>
  <si>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</si>
  <si>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</si>
  <si>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</si>
  <si>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</si>
  <si>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</si>
  <si>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</si>
  <si>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</si>
  <si>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</si>
  <si>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</si>
  <si>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</si>
  <si>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</si>
  <si>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</si>
  <si>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</si>
  <si>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</si>
  <si>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</si>
  <si>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</si>
  <si>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</si>
  <si>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</si>
  <si>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</si>
  <si>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</si>
  <si>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</si>
  <si>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</si>
  <si>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</si>
  <si>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</si>
  <si>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</si>
  <si>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</si>
  <si>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</si>
  <si>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</si>
  <si>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</si>
  <si>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</si>
  <si>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</si>
  <si>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</si>
  <si>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</si>
  <si>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</si>
  <si>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</si>
  <si>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</si>
  <si>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</si>
  <si>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</si>
  <si>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</si>
  <si>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</si>
  <si>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</si>
  <si>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</si>
  <si>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</si>
  <si>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</si>
  <si>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</si>
  <si>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</si>
  <si>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</si>
  <si>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</si>
  <si>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</si>
  <si>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</si>
  <si>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</si>
  <si>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</si>
  <si>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</si>
  <si>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</si>
  <si>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</si>
  <si>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</si>
  <si>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</si>
  <si>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</si>
  <si>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</si>
  <si>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</si>
  <si>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</si>
  <si>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</si>
  <si>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</si>
  <si>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</si>
  <si>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</si>
  <si>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</si>
  <si>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</si>
  <si>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</si>
  <si>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</si>
  <si>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</si>
  <si>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</si>
  <si>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</si>
  <si>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</si>
  <si>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</si>
  <si>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</si>
  <si>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</si>
  <si>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</si>
  <si>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</si>
  <si>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</si>
  <si>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</si>
  <si>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</si>
  <si>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</si>
  <si>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</si>
  <si>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</si>
  <si>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</si>
  <si>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</si>
  <si>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</si>
  <si>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</si>
  <si>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</si>
  <si>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</si>
  <si>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</si>
  <si>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</si>
  <si>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</si>
  <si>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</si>
  <si>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</si>
  <si>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</si>
  <si>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</si>
  <si>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</si>
  <si>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</si>
  <si>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</si>
  <si>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</si>
  <si>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</si>
  <si>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</si>
  <si>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</si>
  <si>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</si>
  <si>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</si>
  <si>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</si>
  <si>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</si>
  <si>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</si>
  <si>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</si>
  <si>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</si>
  <si>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</si>
  <si>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</si>
  <si>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</si>
  <si>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</si>
  <si>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</si>
  <si>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</si>
  <si>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</si>
  <si>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</si>
  <si>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</si>
  <si>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</si>
  <si>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</si>
  <si>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</si>
  <si>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</si>
  <si>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</si>
  <si>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</si>
  <si>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</si>
  <si>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</si>
  <si>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</si>
  <si>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</si>
  <si>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</si>
  <si>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</si>
  <si>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</si>
  <si>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</si>
  <si>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</si>
  <si>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</si>
  <si>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</si>
  <si>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</si>
  <si>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</si>
  <si>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</si>
  <si>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</si>
  <si>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</si>
  <si>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</si>
  <si>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</si>
  <si>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</si>
  <si>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</si>
  <si>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</si>
  <si>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</si>
  <si>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</si>
  <si>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</si>
  <si>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</si>
  <si>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</si>
  <si>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</si>
  <si>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</si>
  <si>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</si>
  <si>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</si>
  <si>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</si>
  <si>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</si>
  <si>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</si>
  <si>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</si>
  <si>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</si>
  <si>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</si>
  <si>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</si>
  <si>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</si>
  <si>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</si>
  <si>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</si>
  <si>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</si>
  <si>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</si>
  <si>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</si>
  <si>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</si>
  <si>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</si>
  <si>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</si>
  <si>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</si>
  <si>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</si>
  <si>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</si>
  <si>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</si>
  <si>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</si>
  <si>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</si>
  <si>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</si>
  <si>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</si>
  <si>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</si>
  <si>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</si>
  <si>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</si>
  <si>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</si>
  <si>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</si>
  <si>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</si>
  <si>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</si>
  <si>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</si>
  <si>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</si>
  <si>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</si>
  <si>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</si>
  <si>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</si>
  <si>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</si>
  <si>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</si>
  <si>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</si>
  <si>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</si>
  <si>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</si>
  <si>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</si>
  <si>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</si>
  <si>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</si>
  <si>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</si>
  <si>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</si>
  <si>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</si>
  <si>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</si>
  <si>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</si>
  <si>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</si>
  <si>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</si>
  <si>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</si>
  <si>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</si>
  <si>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</si>
  <si>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</si>
  <si>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</si>
  <si>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</si>
  <si>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</si>
  <si>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</si>
  <si>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</si>
  <si>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</si>
  <si>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</si>
  <si>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</si>
  <si>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</si>
  <si>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</si>
  <si>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</si>
  <si>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</si>
  <si>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</si>
  <si>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</si>
  <si>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</si>
  <si>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</si>
  <si>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</si>
  <si>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</si>
  <si>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</si>
  <si>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</si>
  <si>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Marshall</t>
  </si>
  <si>
    <t>Henry-Senachwine CUSD 5</t>
  </si>
  <si>
    <t>1023 College</t>
  </si>
  <si>
    <t xml:space="preserve">Henry  </t>
  </si>
  <si>
    <t>mmiller@hscud5.org</t>
  </si>
  <si>
    <t>Michael S. Miller</t>
  </si>
  <si>
    <t>309-364-3614</t>
  </si>
  <si>
    <t>309-364-2990</t>
  </si>
  <si>
    <t>Hopkins &amp; Associates, CPAs</t>
  </si>
  <si>
    <t>Kim Bird</t>
  </si>
  <si>
    <t>314 S McCoy St</t>
  </si>
  <si>
    <t>Granville</t>
  </si>
  <si>
    <t>IL</t>
  </si>
  <si>
    <t>815-339-6630</t>
  </si>
  <si>
    <t>815-339-6643</t>
  </si>
  <si>
    <t>066-004501</t>
  </si>
  <si>
    <t>kim@hopkinsoffice.com</t>
  </si>
  <si>
    <t>O&amp;M-Plant Maintenance- Purchased Services</t>
  </si>
  <si>
    <t>20-2540-300</t>
  </si>
  <si>
    <t>PDC/Area Companies</t>
  </si>
  <si>
    <t>American Pest Control</t>
  </si>
  <si>
    <t>Mechanical, Inc.</t>
  </si>
  <si>
    <t>AT&amp;T</t>
  </si>
  <si>
    <t>Frontier</t>
  </si>
  <si>
    <t>Verizon Wireless</t>
  </si>
  <si>
    <t>AAA Certified</t>
  </si>
  <si>
    <t>Culligan Tri-Co Sales</t>
  </si>
  <si>
    <t>Ed-Impr of Instr - Purchased Services</t>
  </si>
  <si>
    <t>10-2210-300</t>
  </si>
  <si>
    <t>Mediacom</t>
  </si>
  <si>
    <t>BMP Special Ed Coop</t>
  </si>
  <si>
    <t>Co-op with Midland track, football, cross country; Low-Point</t>
  </si>
  <si>
    <t>LP Career Center - ACC Classes, Midland - Ag Classes</t>
  </si>
  <si>
    <t>Ed 1614 - Milk sales $1,406</t>
  </si>
  <si>
    <t>Ed 1999 - Miscellaneous $1,043</t>
  </si>
  <si>
    <t>O&amp;M 1999 - Miscellaneous $271</t>
  </si>
  <si>
    <t>Ed 3999 - Library Grant $750</t>
  </si>
  <si>
    <t>Bus Leases</t>
  </si>
  <si>
    <t>Capital Lease</t>
  </si>
  <si>
    <t>Capital Lease is for buses that are paid from the Transportation fund.</t>
  </si>
  <si>
    <t>Total Federal Expenditures for 7/1/18-6/30/19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</si>
</sst>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1" t="s">
        <v>405</v>
      </c>
      <c r="J1" s="2012"/>
      <c r="K1" s="2012"/>
      <c r="L1" s="2012"/>
      <c r="M1" s="2012"/>
      <c r="N1" s="2012"/>
      <c r="O1" s="2012"/>
      <c r="P1" s="2012"/>
      <c r="Q1" s="2012"/>
      <c r="R1" s="2012"/>
      <c r="S1" s="2012"/>
    </row>
    <row r="2" spans="1:28" ht="12" customHeight="1" x14ac:dyDescent="0.2">
      <c r="A2" s="47" t="s">
        <v>1992</v>
      </c>
      <c r="D2" s="48"/>
      <c r="I2" s="2013" t="s">
        <v>979</v>
      </c>
      <c r="J2" s="2012"/>
      <c r="K2" s="2012"/>
      <c r="L2" s="2012"/>
      <c r="M2" s="2012"/>
      <c r="N2" s="2012"/>
      <c r="O2" s="2012"/>
      <c r="P2" s="2012"/>
      <c r="Q2" s="2012"/>
      <c r="R2" s="2012"/>
      <c r="S2" s="2012"/>
    </row>
    <row r="3" spans="1:28" ht="12" customHeight="1" x14ac:dyDescent="0.2">
      <c r="A3" s="155" t="s">
        <v>1944</v>
      </c>
      <c r="B3" s="156"/>
      <c r="C3" s="156"/>
      <c r="D3" s="157"/>
      <c r="I3" s="2013" t="s">
        <v>52</v>
      </c>
      <c r="J3" s="2012"/>
      <c r="K3" s="2012"/>
      <c r="L3" s="2012"/>
      <c r="M3" s="2012"/>
      <c r="N3" s="2012"/>
      <c r="O3" s="2012"/>
      <c r="P3" s="2012"/>
      <c r="Q3" s="2012"/>
      <c r="R3" s="2012"/>
      <c r="S3" s="2012"/>
    </row>
    <row r="4" spans="1:28" ht="12" customHeight="1" x14ac:dyDescent="0.2">
      <c r="A4" s="37"/>
      <c r="I4" s="2013" t="s">
        <v>524</v>
      </c>
      <c r="J4" s="2012"/>
      <c r="K4" s="2012"/>
      <c r="L4" s="2012"/>
      <c r="M4" s="2012"/>
      <c r="N4" s="2012"/>
      <c r="O4" s="2012"/>
      <c r="P4" s="2012"/>
      <c r="Q4" s="2012"/>
      <c r="R4" s="2012"/>
      <c r="S4" s="2012"/>
    </row>
    <row r="5" spans="1:28" ht="14.1" customHeight="1" x14ac:dyDescent="0.2">
      <c r="B5" s="104" t="s">
        <v>2063</v>
      </c>
      <c r="C5" s="26" t="s">
        <v>910</v>
      </c>
      <c r="D5" s="84"/>
      <c r="E5" s="84"/>
      <c r="H5" s="38"/>
      <c r="I5" s="2020" t="s">
        <v>680</v>
      </c>
      <c r="J5" s="1965"/>
      <c r="K5" s="1965"/>
      <c r="L5" s="1965"/>
      <c r="M5" s="1965"/>
      <c r="N5" s="1965"/>
      <c r="O5" s="1965"/>
      <c r="P5" s="1965"/>
      <c r="Q5" s="1965"/>
      <c r="R5" s="1965"/>
      <c r="S5" s="1965"/>
    </row>
    <row r="6" spans="1:28" ht="14.1" customHeight="1" x14ac:dyDescent="0.2">
      <c r="B6" s="104"/>
      <c r="C6" s="26" t="s">
        <v>911</v>
      </c>
      <c r="D6" s="84"/>
      <c r="E6" s="84"/>
      <c r="I6" s="2019" t="s">
        <v>883</v>
      </c>
      <c r="J6" s="1965"/>
      <c r="K6" s="1965"/>
      <c r="L6" s="1965"/>
      <c r="M6" s="1965"/>
      <c r="N6" s="1965"/>
      <c r="O6" s="1965"/>
      <c r="P6" s="1965"/>
      <c r="Q6" s="1965"/>
      <c r="R6" s="1965"/>
      <c r="S6" s="1965"/>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674</v>
      </c>
      <c r="J9" s="2017"/>
      <c r="K9" s="2017"/>
      <c r="L9" s="2017"/>
      <c r="M9" s="2017"/>
      <c r="N9" s="2017"/>
      <c r="O9" s="2017"/>
      <c r="P9" s="2017"/>
      <c r="Q9" s="2017"/>
      <c r="R9" s="2017"/>
      <c r="S9" s="2018"/>
      <c r="T9" s="1961" t="s">
        <v>533</v>
      </c>
      <c r="U9" s="1962"/>
      <c r="V9" s="1962"/>
      <c r="W9" s="1962"/>
      <c r="X9" s="1962"/>
      <c r="Y9" s="1962"/>
      <c r="Z9" s="1962"/>
      <c r="AA9" s="1963"/>
    </row>
    <row r="10" spans="1:28" ht="13.5" customHeight="1" x14ac:dyDescent="0.2">
      <c r="A10" s="1970" t="s">
        <v>675</v>
      </c>
      <c r="B10" s="1971"/>
      <c r="C10" s="1971"/>
      <c r="D10" s="1971"/>
      <c r="E10" s="1971"/>
      <c r="F10" s="1971"/>
      <c r="G10" s="1971"/>
      <c r="H10" s="1972"/>
      <c r="I10" s="29"/>
      <c r="J10" s="30"/>
      <c r="K10" s="28"/>
      <c r="R10" s="30"/>
      <c r="S10" s="30"/>
      <c r="T10" s="1964"/>
      <c r="U10" s="1965"/>
      <c r="V10" s="1965"/>
      <c r="W10" s="1965"/>
      <c r="X10" s="1965"/>
      <c r="Y10" s="1965"/>
      <c r="Z10" s="1965"/>
      <c r="AA10" s="1966"/>
    </row>
    <row r="11" spans="1:28" ht="14.25" customHeight="1" x14ac:dyDescent="0.2">
      <c r="A11" s="1973" t="s">
        <v>955</v>
      </c>
      <c r="B11" s="1974"/>
      <c r="C11" s="1974"/>
      <c r="D11" s="1974"/>
      <c r="E11" s="1974"/>
      <c r="F11" s="1974"/>
      <c r="G11" s="1974"/>
      <c r="H11" s="1975"/>
      <c r="I11" s="27"/>
      <c r="J11" s="74"/>
      <c r="K11" s="27"/>
      <c r="O11" s="148" t="s">
        <v>2063</v>
      </c>
      <c r="P11" s="100" t="s">
        <v>201</v>
      </c>
      <c r="Q11" s="30"/>
      <c r="R11" s="28"/>
      <c r="S11" s="27"/>
      <c r="T11" s="1967"/>
      <c r="U11" s="1968"/>
      <c r="V11" s="1968"/>
      <c r="W11" s="1968"/>
      <c r="X11" s="1968"/>
      <c r="Y11" s="1968"/>
      <c r="Z11" s="1968"/>
      <c r="AA11" s="196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35059005026</v>
      </c>
      <c r="B13" s="1982"/>
      <c r="C13" s="1982"/>
      <c r="D13" s="1982"/>
      <c r="E13" s="1982"/>
      <c r="F13" s="1982"/>
      <c r="G13" s="1982"/>
      <c r="H13" s="1983"/>
      <c r="I13" s="31"/>
      <c r="J13" s="30"/>
      <c r="K13" s="28"/>
      <c r="L13" s="30"/>
      <c r="M13" s="30"/>
      <c r="N13" s="30"/>
      <c r="O13" s="30"/>
      <c r="P13" s="30"/>
      <c r="Q13" s="30"/>
      <c r="R13" s="30"/>
      <c r="S13" s="30"/>
      <c r="T13" s="1986" t="s">
        <v>2072</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9" t="s">
        <v>2064</v>
      </c>
      <c r="B15" s="1984"/>
      <c r="C15" s="1984"/>
      <c r="D15" s="1984"/>
      <c r="E15" s="1984"/>
      <c r="F15" s="1984"/>
      <c r="G15" s="1984"/>
      <c r="H15" s="1985"/>
      <c r="T15" s="1947" t="s">
        <v>2073</v>
      </c>
      <c r="U15" s="1948"/>
      <c r="V15" s="1948"/>
      <c r="W15" s="1948"/>
      <c r="X15" s="1948"/>
      <c r="Y15" s="1990"/>
      <c r="Z15" s="1990"/>
      <c r="AA15" s="19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9" t="s">
        <v>2065</v>
      </c>
      <c r="B17" s="2009"/>
      <c r="C17" s="2009"/>
      <c r="D17" s="2009"/>
      <c r="E17" s="2009"/>
      <c r="F17" s="2009"/>
      <c r="G17" s="2009"/>
      <c r="H17" s="2010"/>
      <c r="T17" s="1996" t="s">
        <v>2074</v>
      </c>
      <c r="U17" s="1997"/>
      <c r="V17" s="1997"/>
      <c r="W17" s="1997"/>
      <c r="X17" s="1997"/>
      <c r="Y17" s="1997"/>
      <c r="Z17" s="1997"/>
      <c r="AA17" s="1998"/>
    </row>
    <row r="18" spans="1:27" ht="13.5" customHeight="1" x14ac:dyDescent="0.2">
      <c r="A18" s="85" t="s">
        <v>530</v>
      </c>
      <c r="B18" s="76"/>
      <c r="C18" s="72"/>
      <c r="D18" s="76"/>
      <c r="E18" s="76"/>
      <c r="F18" s="76"/>
      <c r="G18" s="76"/>
      <c r="H18" s="56"/>
      <c r="I18" s="2006" t="s">
        <v>676</v>
      </c>
      <c r="J18" s="2007"/>
      <c r="K18" s="2007"/>
      <c r="L18" s="2007"/>
      <c r="M18" s="2007"/>
      <c r="N18" s="2007"/>
      <c r="O18" s="2007"/>
      <c r="P18" s="2007"/>
      <c r="Q18" s="2007"/>
      <c r="R18" s="2007"/>
      <c r="S18" s="2008"/>
      <c r="T18" s="85" t="s">
        <v>711</v>
      </c>
      <c r="U18" s="51"/>
      <c r="V18" s="72"/>
      <c r="W18" s="50"/>
      <c r="X18" s="85" t="s">
        <v>266</v>
      </c>
      <c r="Y18" s="81"/>
      <c r="Z18" s="159" t="s">
        <v>677</v>
      </c>
      <c r="AA18" s="46"/>
    </row>
    <row r="19" spans="1:27" ht="13.5" customHeight="1" x14ac:dyDescent="0.2">
      <c r="A19" s="1979" t="s">
        <v>2066</v>
      </c>
      <c r="B19" s="1980"/>
      <c r="C19" s="1980"/>
      <c r="D19" s="1980"/>
      <c r="E19" s="1980"/>
      <c r="F19" s="1980"/>
      <c r="G19" s="1980"/>
      <c r="H19" s="1978"/>
      <c r="I19" s="30"/>
      <c r="J19" s="99"/>
      <c r="K19" s="40"/>
      <c r="L19" s="38"/>
      <c r="M19" s="112" t="s">
        <v>315</v>
      </c>
      <c r="P19" s="27"/>
      <c r="Q19" s="27"/>
      <c r="R19" s="27"/>
      <c r="S19" s="31"/>
      <c r="T19" s="1979" t="s">
        <v>2075</v>
      </c>
      <c r="U19" s="1977"/>
      <c r="V19" s="1977"/>
      <c r="W19" s="1978"/>
      <c r="X19" s="1994" t="s">
        <v>2076</v>
      </c>
      <c r="Y19" s="1995"/>
      <c r="Z19" s="1992">
        <v>61326</v>
      </c>
      <c r="AA19" s="19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6" t="s">
        <v>2067</v>
      </c>
      <c r="B21" s="1977"/>
      <c r="C21" s="1977"/>
      <c r="D21" s="1977"/>
      <c r="E21" s="1977"/>
      <c r="F21" s="1977"/>
      <c r="G21" s="1977"/>
      <c r="H21" s="1978"/>
      <c r="I21" s="2002" t="s">
        <v>678</v>
      </c>
      <c r="J21" s="1965"/>
      <c r="K21" s="1965"/>
      <c r="L21" s="1965"/>
      <c r="M21" s="1965"/>
      <c r="N21" s="1965"/>
      <c r="O21" s="1965"/>
      <c r="P21" s="1965"/>
      <c r="Q21" s="1965"/>
      <c r="R21" s="1965"/>
      <c r="S21" s="1966"/>
      <c r="T21" s="1944" t="s">
        <v>2077</v>
      </c>
      <c r="U21" s="1945"/>
      <c r="V21" s="1945"/>
      <c r="W21" s="1945"/>
      <c r="X21" s="1958" t="s">
        <v>2078</v>
      </c>
      <c r="Y21" s="1959"/>
      <c r="Z21" s="1959"/>
      <c r="AA21" s="1960"/>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9" t="s">
        <v>2068</v>
      </c>
      <c r="B23" s="2000"/>
      <c r="C23" s="2000"/>
      <c r="D23" s="2000"/>
      <c r="E23" s="2000"/>
      <c r="F23" s="2000"/>
      <c r="G23" s="2000"/>
      <c r="H23" s="2001"/>
      <c r="T23" s="1939" t="s">
        <v>2079</v>
      </c>
      <c r="U23" s="1940"/>
      <c r="V23" s="1940"/>
      <c r="W23" s="1940"/>
      <c r="X23" s="1955">
        <v>44530</v>
      </c>
      <c r="Y23" s="1956"/>
      <c r="Z23" s="1956"/>
      <c r="AA23" s="1957"/>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76">
        <v>61537</v>
      </c>
      <c r="B25" s="1977"/>
      <c r="C25" s="1977"/>
      <c r="D25" s="1977"/>
      <c r="E25" s="1977"/>
      <c r="F25" s="1977"/>
      <c r="G25" s="1977"/>
      <c r="H25" s="1978"/>
      <c r="I25" s="113"/>
      <c r="J25" s="2043"/>
      <c r="K25" s="2043"/>
      <c r="L25" s="2043"/>
      <c r="M25" s="2043"/>
      <c r="N25" s="2043"/>
      <c r="O25" s="2043"/>
      <c r="P25" s="2043"/>
      <c r="Q25" s="2043"/>
      <c r="R25" s="2043"/>
      <c r="S25" s="2044"/>
      <c r="T25" s="1936" t="s">
        <v>2080</v>
      </c>
      <c r="U25" s="1937"/>
      <c r="V25" s="1937"/>
      <c r="W25" s="1937"/>
      <c r="X25" s="1937"/>
      <c r="Y25" s="1937"/>
      <c r="Z25" s="1937"/>
      <c r="AA25" s="19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4" t="s">
        <v>1511</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9" t="s">
        <v>2069</v>
      </c>
      <c r="B38" s="2009"/>
      <c r="C38" s="2009"/>
      <c r="D38" s="2009"/>
      <c r="E38" s="2009"/>
      <c r="F38" s="1977"/>
      <c r="G38" s="1977"/>
      <c r="H38" s="1978"/>
      <c r="I38" s="2028"/>
      <c r="J38" s="1948"/>
      <c r="K38" s="1948"/>
      <c r="L38" s="1948"/>
      <c r="M38" s="1948"/>
      <c r="N38" s="1948"/>
      <c r="O38" s="1948"/>
      <c r="P38" s="1949"/>
      <c r="Q38" s="1949"/>
      <c r="R38" s="1949"/>
      <c r="S38" s="1950"/>
      <c r="T38" s="1947"/>
      <c r="U38" s="1948"/>
      <c r="V38" s="1948"/>
      <c r="W38" s="1948"/>
      <c r="X38" s="1949"/>
      <c r="Y38" s="1949"/>
      <c r="Z38" s="1949"/>
      <c r="AA38" s="1950"/>
    </row>
    <row r="39" spans="1:27" ht="12" customHeight="1" x14ac:dyDescent="0.2">
      <c r="A39" s="2032" t="s">
        <v>531</v>
      </c>
      <c r="B39" s="2033"/>
      <c r="C39" s="72"/>
      <c r="D39" s="69"/>
      <c r="E39" s="69"/>
      <c r="F39" s="79"/>
      <c r="G39" s="69"/>
      <c r="H39" s="56"/>
      <c r="I39" s="2032" t="s">
        <v>531</v>
      </c>
      <c r="J39" s="2033"/>
      <c r="K39" s="2033"/>
      <c r="L39" s="2033"/>
      <c r="M39" s="2033"/>
      <c r="N39" s="67"/>
      <c r="O39" s="72"/>
      <c r="P39" s="72"/>
      <c r="Q39" s="78"/>
      <c r="R39" s="72"/>
      <c r="S39" s="56"/>
      <c r="T39" s="72" t="s">
        <v>531</v>
      </c>
      <c r="U39" s="51"/>
      <c r="V39" s="72"/>
      <c r="W39" s="50"/>
      <c r="X39" s="78"/>
      <c r="Y39" s="45"/>
      <c r="Z39" s="45"/>
      <c r="AA39" s="46"/>
    </row>
    <row r="40" spans="1:27" ht="13.5" customHeight="1" x14ac:dyDescent="0.2">
      <c r="A40" s="2035" t="s">
        <v>2068</v>
      </c>
      <c r="B40" s="2036"/>
      <c r="C40" s="2037"/>
      <c r="D40" s="2037"/>
      <c r="E40" s="2037"/>
      <c r="F40" s="2038"/>
      <c r="G40" s="2038"/>
      <c r="H40" s="2039"/>
      <c r="I40" s="1951"/>
      <c r="J40" s="1953"/>
      <c r="K40" s="1953"/>
      <c r="L40" s="1953"/>
      <c r="M40" s="1953"/>
      <c r="N40" s="1953"/>
      <c r="O40" s="1953"/>
      <c r="P40" s="1953"/>
      <c r="Q40" s="1953"/>
      <c r="R40" s="1953"/>
      <c r="S40" s="1954"/>
      <c r="T40" s="1951"/>
      <c r="U40" s="1952"/>
      <c r="V40" s="1953"/>
      <c r="W40" s="1953"/>
      <c r="X40" s="1953"/>
      <c r="Y40" s="1953"/>
      <c r="Z40" s="1953"/>
      <c r="AA40" s="19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5" t="s">
        <v>2070</v>
      </c>
      <c r="B42" s="2026"/>
      <c r="C42" s="2027"/>
      <c r="D42" s="2040" t="s">
        <v>2071</v>
      </c>
      <c r="E42" s="2026"/>
      <c r="F42" s="2026"/>
      <c r="G42" s="2026"/>
      <c r="H42" s="2027"/>
      <c r="I42" s="1946"/>
      <c r="J42" s="1942"/>
      <c r="K42" s="1942"/>
      <c r="L42" s="1942"/>
      <c r="M42" s="1942"/>
      <c r="N42" s="1942"/>
      <c r="O42" s="1943"/>
      <c r="P42" s="1941"/>
      <c r="Q42" s="1942"/>
      <c r="R42" s="1942"/>
      <c r="S42" s="1943"/>
      <c r="T42" s="1946"/>
      <c r="U42" s="1942"/>
      <c r="V42" s="1942"/>
      <c r="W42" s="1943"/>
      <c r="X42" s="1941"/>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8" t="s">
        <v>1802</v>
      </c>
      <c r="B2" s="1528" t="s">
        <v>1950</v>
      </c>
      <c r="C2" s="714" t="s">
        <v>1951</v>
      </c>
      <c r="D2" s="714" t="s">
        <v>1952</v>
      </c>
      <c r="E2" s="714" t="s">
        <v>1953</v>
      </c>
      <c r="F2" s="714" t="s">
        <v>1954</v>
      </c>
    </row>
    <row r="3" spans="1:6" ht="12" customHeight="1" x14ac:dyDescent="0.2">
      <c r="A3" s="2179"/>
      <c r="B3" s="1525"/>
      <c r="C3" s="1526"/>
      <c r="D3" s="1527" t="s">
        <v>256</v>
      </c>
      <c r="E3" s="1526"/>
      <c r="F3" s="1527" t="s">
        <v>257</v>
      </c>
    </row>
    <row r="4" spans="1:6" ht="13.7" customHeight="1" x14ac:dyDescent="0.2">
      <c r="A4" s="715" t="s">
        <v>1155</v>
      </c>
      <c r="B4" s="1747">
        <f>'Revenues 9-14'!C5</f>
        <v>2942239</v>
      </c>
      <c r="C4" s="1524"/>
      <c r="D4" s="1750">
        <f>B4-C4</f>
        <v>2942239</v>
      </c>
      <c r="E4" s="1524">
        <f>103084062*0.0288</f>
        <v>2968820.9855999998</v>
      </c>
      <c r="F4" s="1750">
        <f>E4-C4</f>
        <v>2968820.9855999998</v>
      </c>
    </row>
    <row r="5" spans="1:6" ht="13.7" customHeight="1" x14ac:dyDescent="0.2">
      <c r="A5" s="715" t="s">
        <v>870</v>
      </c>
      <c r="B5" s="1748">
        <f>'Revenues 9-14'!D5</f>
        <v>612966</v>
      </c>
      <c r="C5" s="585"/>
      <c r="D5" s="1751">
        <f t="shared" ref="D5:D18" si="0">B5-C5</f>
        <v>612966</v>
      </c>
      <c r="E5" s="585">
        <f>103084062*0.006</f>
        <v>618504.37199999997</v>
      </c>
      <c r="F5" s="1751">
        <f>E5-C5</f>
        <v>618504.37199999997</v>
      </c>
    </row>
    <row r="6" spans="1:6" ht="13.7" customHeight="1" x14ac:dyDescent="0.2">
      <c r="A6" s="715" t="s">
        <v>411</v>
      </c>
      <c r="B6" s="1748">
        <f>'Revenues 9-14'!E5</f>
        <v>278</v>
      </c>
      <c r="C6" s="585"/>
      <c r="D6" s="1751">
        <f t="shared" si="0"/>
        <v>278</v>
      </c>
      <c r="E6" s="585"/>
      <c r="F6" s="1751">
        <f t="shared" ref="F6:F18" si="1">E6-C6</f>
        <v>0</v>
      </c>
    </row>
    <row r="7" spans="1:6" ht="13.7" customHeight="1" x14ac:dyDescent="0.2">
      <c r="A7" s="715" t="s">
        <v>155</v>
      </c>
      <c r="B7" s="1748">
        <f>'Revenues 9-14'!F5</f>
        <v>204323</v>
      </c>
      <c r="C7" s="585"/>
      <c r="D7" s="1751">
        <f t="shared" si="0"/>
        <v>204323</v>
      </c>
      <c r="E7" s="585">
        <f>103084062*0.002</f>
        <v>206168.12400000001</v>
      </c>
      <c r="F7" s="1751">
        <f t="shared" si="1"/>
        <v>206168.12400000001</v>
      </c>
    </row>
    <row r="8" spans="1:6" ht="13.7" customHeight="1" x14ac:dyDescent="0.2">
      <c r="A8" s="715" t="s">
        <v>1179</v>
      </c>
      <c r="B8" s="1748">
        <f>'Revenues 9-14'!G5</f>
        <v>142940</v>
      </c>
      <c r="C8" s="585"/>
      <c r="D8" s="1751">
        <f t="shared" si="0"/>
        <v>142940</v>
      </c>
      <c r="E8" s="585">
        <f>103084062*0.0013097</f>
        <v>135009.19600140001</v>
      </c>
      <c r="F8" s="1751">
        <f t="shared" si="1"/>
        <v>135009.19600140001</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53765</v>
      </c>
      <c r="C10" s="585"/>
      <c r="D10" s="1751">
        <f t="shared" si="0"/>
        <v>53765</v>
      </c>
      <c r="E10" s="585">
        <f>103084062*0.0005</f>
        <v>51542.031000000003</v>
      </c>
      <c r="F10" s="1751">
        <f t="shared" si="1"/>
        <v>51542.031000000003</v>
      </c>
    </row>
    <row r="11" spans="1:6" x14ac:dyDescent="0.2">
      <c r="A11" s="715" t="s">
        <v>409</v>
      </c>
      <c r="B11" s="1748">
        <f>'Revenues 9-14'!J5</f>
        <v>299856</v>
      </c>
      <c r="C11" s="585"/>
      <c r="D11" s="1751">
        <f t="shared" si="0"/>
        <v>299856</v>
      </c>
      <c r="E11" s="585">
        <f>103084062*0.0029103</f>
        <v>300005.54563860002</v>
      </c>
      <c r="F11" s="1751">
        <f t="shared" si="1"/>
        <v>300005.54563860002</v>
      </c>
    </row>
    <row r="12" spans="1:6" ht="13.7" customHeight="1" x14ac:dyDescent="0.2">
      <c r="A12" s="715" t="s">
        <v>157</v>
      </c>
      <c r="B12" s="1748">
        <f>'Revenues 9-14'!K5</f>
        <v>51080</v>
      </c>
      <c r="C12" s="585"/>
      <c r="D12" s="1751">
        <f t="shared" si="0"/>
        <v>51080</v>
      </c>
      <c r="E12" s="585">
        <f>103084062*0.0005</f>
        <v>51542.031000000003</v>
      </c>
      <c r="F12" s="1751">
        <f t="shared" si="1"/>
        <v>51542.031000000003</v>
      </c>
    </row>
    <row r="13" spans="1:6" ht="13.7" customHeight="1" x14ac:dyDescent="0.2">
      <c r="A13" s="715" t="s">
        <v>936</v>
      </c>
      <c r="B13" s="1748">
        <f>SUM('Revenues 9-14'!C6:D6)</f>
        <v>51080</v>
      </c>
      <c r="C13" s="585"/>
      <c r="D13" s="1751">
        <f t="shared" si="0"/>
        <v>51080</v>
      </c>
      <c r="E13" s="585">
        <f>103084062*0.0005</f>
        <v>51542.031000000003</v>
      </c>
      <c r="F13" s="1751">
        <f t="shared" si="1"/>
        <v>51542.031000000003</v>
      </c>
    </row>
    <row r="14" spans="1:6" ht="13.7" customHeight="1" x14ac:dyDescent="0.2">
      <c r="A14" s="715" t="s">
        <v>410</v>
      </c>
      <c r="B14" s="1748">
        <f>SUM('Revenues 9-14'!C7:D7,'Revenues 9-14'!F7:H7)</f>
        <v>40865</v>
      </c>
      <c r="C14" s="585"/>
      <c r="D14" s="1751">
        <f t="shared" si="0"/>
        <v>40865</v>
      </c>
      <c r="E14" s="585">
        <f>103084062*0.0004</f>
        <v>41233.624800000005</v>
      </c>
      <c r="F14" s="1751">
        <f t="shared" si="1"/>
        <v>41233.624800000005</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142940</v>
      </c>
      <c r="C16" s="585"/>
      <c r="D16" s="1751">
        <f t="shared" si="0"/>
        <v>142940</v>
      </c>
      <c r="E16" s="585">
        <f>103084062*0.0013097</f>
        <v>135009.19600140001</v>
      </c>
      <c r="F16" s="1751">
        <f t="shared" si="1"/>
        <v>135009.19600140001</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4542332</v>
      </c>
      <c r="C19" s="1749">
        <f>SUM(C4:C18)</f>
        <v>0</v>
      </c>
      <c r="D19" s="1749">
        <f>SUM(D4:D18)</f>
        <v>4542332</v>
      </c>
      <c r="E19" s="1749">
        <f>SUM(E4:E18)</f>
        <v>4559377.1370414011</v>
      </c>
      <c r="F19" s="1749">
        <f>SUM(F4:F18)</f>
        <v>4559377.1370414011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E32" sqref="E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721"/>
    </row>
    <row r="2" spans="1:7" ht="33.75" x14ac:dyDescent="0.2">
      <c r="A2" s="2193" t="s">
        <v>1802</v>
      </c>
      <c r="B2" s="2194"/>
      <c r="C2" s="1881" t="s">
        <v>1955</v>
      </c>
      <c r="D2" s="723" t="s">
        <v>1956</v>
      </c>
      <c r="E2" s="723" t="s">
        <v>1957</v>
      </c>
      <c r="F2" s="1881" t="s">
        <v>1958</v>
      </c>
    </row>
    <row r="3" spans="1:7" ht="15.75" customHeight="1" x14ac:dyDescent="0.2">
      <c r="A3" s="2197" t="s">
        <v>1114</v>
      </c>
      <c r="B3" s="2198"/>
      <c r="C3" s="2186"/>
      <c r="D3" s="2187"/>
      <c r="E3" s="2187"/>
      <c r="F3" s="2188"/>
    </row>
    <row r="4" spans="1:7" ht="12.75" customHeight="1" thickBot="1" x14ac:dyDescent="0.25">
      <c r="A4" s="2195" t="s">
        <v>630</v>
      </c>
      <c r="B4" s="2196"/>
      <c r="C4" s="581"/>
      <c r="D4" s="581"/>
      <c r="E4" s="581"/>
      <c r="F4" s="1753">
        <f>SUM(C4+D4)-E4</f>
        <v>0</v>
      </c>
    </row>
    <row r="5" spans="1:7" ht="15.75" customHeight="1" thickTop="1" x14ac:dyDescent="0.2">
      <c r="A5" s="2180" t="s">
        <v>1110</v>
      </c>
      <c r="B5" s="2181"/>
      <c r="C5" s="2189"/>
      <c r="D5" s="2190"/>
      <c r="E5" s="2190"/>
      <c r="F5" s="219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2" t="s">
        <v>631</v>
      </c>
      <c r="B15" s="2183"/>
      <c r="C15" s="1753">
        <f>SUM(C6:C14)</f>
        <v>0</v>
      </c>
      <c r="D15" s="1753">
        <f>SUM(D6:D14)</f>
        <v>0</v>
      </c>
      <c r="E15" s="1753">
        <f>SUM(E6:E14)</f>
        <v>0</v>
      </c>
      <c r="F15" s="1753">
        <f>SUM(F6:F14)</f>
        <v>0</v>
      </c>
      <c r="G15" s="552"/>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26"/>
      <c r="D17" s="585"/>
      <c r="E17" s="726"/>
      <c r="F17" s="1753">
        <f>SUM(C17+D17)-E17</f>
        <v>0</v>
      </c>
    </row>
    <row r="18" spans="1:11" ht="12.75" customHeight="1" thickTop="1" thickBot="1" x14ac:dyDescent="0.25">
      <c r="A18" s="2205" t="s">
        <v>6</v>
      </c>
      <c r="B18" s="2206"/>
      <c r="C18" s="726"/>
      <c r="D18" s="585"/>
      <c r="E18" s="726"/>
      <c r="F18" s="1753">
        <f>SUM(C18+D18)-E18</f>
        <v>0</v>
      </c>
    </row>
    <row r="19" spans="1:11" ht="12.75" customHeight="1" thickTop="1" thickBot="1" x14ac:dyDescent="0.25">
      <c r="A19" s="2205" t="s">
        <v>388</v>
      </c>
      <c r="B19" s="2206"/>
      <c r="C19" s="726"/>
      <c r="D19" s="585"/>
      <c r="E19" s="726"/>
      <c r="F19" s="1753">
        <f>SUM(C19+D19)-E19</f>
        <v>0</v>
      </c>
    </row>
    <row r="20" spans="1:11" ht="12.75" customHeight="1" thickTop="1" thickBot="1" x14ac:dyDescent="0.25">
      <c r="A20" s="2205" t="s">
        <v>448</v>
      </c>
      <c r="B20" s="2206"/>
      <c r="C20" s="726"/>
      <c r="D20" s="585"/>
      <c r="E20" s="726"/>
      <c r="F20" s="1753">
        <f>SUM(C20+D20)-E20</f>
        <v>0</v>
      </c>
    </row>
    <row r="21" spans="1:11" ht="14.25" thickTop="1" thickBot="1" x14ac:dyDescent="0.25">
      <c r="A21" s="2182" t="s">
        <v>632</v>
      </c>
      <c r="B21" s="2183"/>
      <c r="C21" s="1753">
        <f>SUM(C17:C20)</f>
        <v>0</v>
      </c>
      <c r="D21" s="1753">
        <f>SUM(D17:D20)</f>
        <v>0</v>
      </c>
      <c r="E21" s="1753">
        <f>SUM(E17:E20)</f>
        <v>0</v>
      </c>
      <c r="F21" s="1753">
        <f>SUM(F17:F20)</f>
        <v>0</v>
      </c>
      <c r="G21" s="552"/>
    </row>
    <row r="22" spans="1:11" ht="15.75" customHeight="1" thickTop="1" x14ac:dyDescent="0.2">
      <c r="A22" s="2207" t="s">
        <v>1112</v>
      </c>
      <c r="B22" s="2181"/>
      <c r="C22" s="2189"/>
      <c r="D22" s="2190"/>
      <c r="E22" s="2190"/>
      <c r="F22" s="2191"/>
    </row>
    <row r="23" spans="1:11" ht="13.5" thickBot="1" x14ac:dyDescent="0.25">
      <c r="A23" s="2195" t="s">
        <v>633</v>
      </c>
      <c r="B23" s="2196"/>
      <c r="C23" s="581"/>
      <c r="D23" s="581"/>
      <c r="E23" s="581"/>
      <c r="F23" s="1753">
        <f>SUM(C23+D23)-E23</f>
        <v>0</v>
      </c>
      <c r="G23" s="552"/>
    </row>
    <row r="24" spans="1:11" ht="15.75" customHeight="1" thickTop="1" x14ac:dyDescent="0.2">
      <c r="A24" s="2207" t="s">
        <v>1113</v>
      </c>
      <c r="B24" s="2181"/>
      <c r="C24" s="2189"/>
      <c r="D24" s="2190"/>
      <c r="E24" s="2190"/>
      <c r="F24" s="2191"/>
    </row>
    <row r="25" spans="1:11" ht="13.5" thickBot="1" x14ac:dyDescent="0.25">
      <c r="A25" s="2195" t="s">
        <v>634</v>
      </c>
      <c r="B25" s="2196"/>
      <c r="C25" s="581"/>
      <c r="D25" s="581"/>
      <c r="E25" s="581"/>
      <c r="F25" s="1753">
        <f>SUM(C25+D25)-E25</f>
        <v>0</v>
      </c>
      <c r="G25" s="552"/>
    </row>
    <row r="26" spans="1:11" ht="15.75" customHeight="1" thickTop="1" x14ac:dyDescent="0.2">
      <c r="A26" s="2180" t="s">
        <v>657</v>
      </c>
      <c r="B26" s="2181"/>
      <c r="C26" s="727"/>
      <c r="D26" s="727"/>
      <c r="E26" s="727"/>
      <c r="F26" s="728"/>
    </row>
    <row r="27" spans="1:11" ht="13.5" thickBot="1" x14ac:dyDescent="0.25">
      <c r="A27" s="2182" t="s">
        <v>1070</v>
      </c>
      <c r="B27" s="2183"/>
      <c r="C27" s="585"/>
      <c r="D27" s="585"/>
      <c r="E27" s="585"/>
      <c r="F27" s="1753">
        <f>SUM(C27+D27)-E27</f>
        <v>0</v>
      </c>
      <c r="G27" s="552"/>
    </row>
    <row r="28" spans="1:11" ht="7.5" customHeight="1" thickTop="1" x14ac:dyDescent="0.2">
      <c r="A28" s="593"/>
    </row>
    <row r="29" spans="1:11" ht="23.25" customHeight="1" x14ac:dyDescent="0.2">
      <c r="A29" s="2208" t="s">
        <v>582</v>
      </c>
      <c r="B29" s="2185"/>
      <c r="C29" s="729"/>
      <c r="D29" s="729"/>
      <c r="E29" s="729"/>
      <c r="F29" s="729"/>
      <c r="G29" s="729"/>
      <c r="H29" s="729"/>
      <c r="I29" s="729"/>
      <c r="J29" s="729"/>
    </row>
    <row r="30" spans="1:11" ht="33.75" x14ac:dyDescent="0.2">
      <c r="A30" s="1529" t="s">
        <v>1071</v>
      </c>
      <c r="B30" s="730" t="s">
        <v>1124</v>
      </c>
      <c r="C30" s="1882" t="s">
        <v>583</v>
      </c>
      <c r="D30" s="1882" t="s">
        <v>1673</v>
      </c>
      <c r="E30" s="1882" t="s">
        <v>1959</v>
      </c>
      <c r="F30" s="1882" t="s">
        <v>1960</v>
      </c>
      <c r="G30" s="1882" t="s">
        <v>1910</v>
      </c>
      <c r="H30" s="1882" t="s">
        <v>1961</v>
      </c>
      <c r="I30" s="1882" t="s">
        <v>1962</v>
      </c>
      <c r="J30" s="1883" t="s">
        <v>2</v>
      </c>
      <c r="K30" s="731"/>
    </row>
    <row r="31" spans="1:11" ht="12" customHeight="1" x14ac:dyDescent="0.2">
      <c r="A31" s="732" t="s">
        <v>2101</v>
      </c>
      <c r="B31" s="733">
        <v>42536</v>
      </c>
      <c r="C31" s="734">
        <v>173409</v>
      </c>
      <c r="D31" s="735">
        <v>7</v>
      </c>
      <c r="E31" s="734">
        <f>101253+22876</f>
        <v>124129</v>
      </c>
      <c r="F31" s="734"/>
      <c r="G31" s="734"/>
      <c r="H31" s="734">
        <v>22876</v>
      </c>
      <c r="I31" s="1754">
        <f>((E31+F31)-H31)+G31</f>
        <v>101253</v>
      </c>
      <c r="J31" s="734">
        <v>101253</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173409</v>
      </c>
      <c r="D49" s="745"/>
      <c r="E49" s="1754">
        <f t="shared" ref="E49:J49" si="2">SUM(E31:E48)</f>
        <v>124129</v>
      </c>
      <c r="F49" s="1754">
        <f t="shared" si="2"/>
        <v>0</v>
      </c>
      <c r="G49" s="1754">
        <f t="shared" si="2"/>
        <v>0</v>
      </c>
      <c r="H49" s="1754">
        <f t="shared" si="2"/>
        <v>22876</v>
      </c>
      <c r="I49" s="1754">
        <f t="shared" si="2"/>
        <v>101253</v>
      </c>
      <c r="J49" s="1754">
        <f t="shared" si="2"/>
        <v>101253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9" t="s">
        <v>584</v>
      </c>
      <c r="C52" s="2200"/>
      <c r="D52" s="2200"/>
      <c r="E52" s="749" t="s">
        <v>845</v>
      </c>
      <c r="F52" s="2201" t="s">
        <v>2102</v>
      </c>
      <c r="G52" s="2202"/>
      <c r="H52" s="736"/>
      <c r="I52" s="736"/>
      <c r="J52" s="746"/>
    </row>
    <row r="53" spans="1:11" ht="11.25" customHeight="1" x14ac:dyDescent="0.2">
      <c r="A53" s="750" t="s">
        <v>913</v>
      </c>
      <c r="B53" s="751" t="s">
        <v>951</v>
      </c>
      <c r="C53" s="746"/>
      <c r="D53" s="737"/>
      <c r="E53" s="749" t="s">
        <v>497</v>
      </c>
      <c r="F53" s="2203"/>
      <c r="G53" s="2204"/>
      <c r="H53" s="736"/>
      <c r="I53" s="736"/>
      <c r="J53" s="746"/>
    </row>
    <row r="54" spans="1:11" ht="11.25" customHeight="1" x14ac:dyDescent="0.2">
      <c r="A54" s="752" t="s">
        <v>914</v>
      </c>
      <c r="B54" s="747" t="s">
        <v>952</v>
      </c>
      <c r="C54" s="746"/>
      <c r="D54" s="737"/>
      <c r="E54" s="749" t="s">
        <v>498</v>
      </c>
      <c r="F54" s="2203"/>
      <c r="G54" s="220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530"/>
      <c r="I1" s="760"/>
      <c r="J1" s="433"/>
    </row>
    <row r="2" spans="1:11" ht="26.25" x14ac:dyDescent="0.2">
      <c r="A2" s="2212" t="s">
        <v>1677</v>
      </c>
      <c r="B2" s="2213"/>
      <c r="C2" s="2213"/>
      <c r="D2" s="2213"/>
      <c r="E2" s="2214"/>
      <c r="F2" s="761" t="s">
        <v>904</v>
      </c>
      <c r="G2" s="762" t="s">
        <v>1674</v>
      </c>
      <c r="H2" s="762" t="s">
        <v>410</v>
      </c>
      <c r="I2" s="762" t="s">
        <v>1158</v>
      </c>
      <c r="J2" s="762" t="s">
        <v>1812</v>
      </c>
      <c r="K2" s="762" t="s">
        <v>138</v>
      </c>
    </row>
    <row r="3" spans="1:11" x14ac:dyDescent="0.2">
      <c r="A3" s="2215" t="s">
        <v>1963</v>
      </c>
      <c r="B3" s="2216"/>
      <c r="C3" s="2216"/>
      <c r="D3" s="2216"/>
      <c r="E3" s="2217"/>
      <c r="F3" s="763"/>
      <c r="G3" s="764"/>
      <c r="H3" s="764"/>
      <c r="I3" s="764"/>
      <c r="J3" s="765"/>
      <c r="K3" s="765"/>
    </row>
    <row r="4" spans="1:11" x14ac:dyDescent="0.2">
      <c r="A4" s="2218" t="s">
        <v>369</v>
      </c>
      <c r="B4" s="2219"/>
      <c r="C4" s="2219"/>
      <c r="D4" s="2219"/>
      <c r="E4" s="2200"/>
      <c r="F4" s="766"/>
      <c r="G4" s="767"/>
      <c r="H4" s="768"/>
      <c r="I4" s="767"/>
      <c r="J4" s="769"/>
      <c r="K4" s="769"/>
    </row>
    <row r="5" spans="1:11" x14ac:dyDescent="0.2">
      <c r="A5" s="2236" t="s">
        <v>1069</v>
      </c>
      <c r="B5" s="2209"/>
      <c r="C5" s="2209"/>
      <c r="D5" s="2209"/>
      <c r="E5" s="2237"/>
      <c r="F5" s="770" t="s">
        <v>848</v>
      </c>
      <c r="G5" s="771"/>
      <c r="H5" s="764">
        <v>40865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9291</v>
      </c>
    </row>
    <row r="10" spans="1:11" x14ac:dyDescent="0.2">
      <c r="A10" s="2236" t="s">
        <v>1813</v>
      </c>
      <c r="B10" s="2209"/>
      <c r="C10" s="2209"/>
      <c r="D10" s="2209"/>
      <c r="E10" s="2238"/>
      <c r="F10" s="783" t="s">
        <v>862</v>
      </c>
      <c r="G10" s="782"/>
      <c r="H10" s="784"/>
      <c r="I10" s="764"/>
      <c r="J10" s="765"/>
      <c r="K10" s="765"/>
    </row>
    <row r="11" spans="1:11" x14ac:dyDescent="0.2">
      <c r="A11" s="2236" t="s">
        <v>160</v>
      </c>
      <c r="B11" s="2209"/>
      <c r="C11" s="2209"/>
      <c r="D11" s="2209"/>
      <c r="E11" s="2237"/>
      <c r="F11" s="770" t="s">
        <v>852</v>
      </c>
      <c r="G11" s="771"/>
      <c r="H11" s="764"/>
      <c r="I11" s="764"/>
      <c r="J11" s="765"/>
      <c r="K11" s="773"/>
    </row>
    <row r="12" spans="1:11" ht="13.5" thickBot="1" x14ac:dyDescent="0.25">
      <c r="A12" s="2226" t="s">
        <v>905</v>
      </c>
      <c r="B12" s="2227"/>
      <c r="C12" s="2227"/>
      <c r="D12" s="2227"/>
      <c r="E12" s="2228"/>
      <c r="F12" s="1755"/>
      <c r="G12" s="1756">
        <f>SUM(G5:G11)</f>
        <v>0</v>
      </c>
      <c r="H12" s="1756">
        <f>SUM(H5:H11)</f>
        <v>40865</v>
      </c>
      <c r="I12" s="1756">
        <f>SUM(I5:I11)</f>
        <v>0</v>
      </c>
      <c r="J12" s="1756">
        <f>SUM(J5:J11)</f>
        <v>0</v>
      </c>
      <c r="K12" s="1756">
        <f>SUM(K5:K11)</f>
        <v>9291</v>
      </c>
    </row>
    <row r="13" spans="1:11" ht="13.5" thickTop="1" x14ac:dyDescent="0.2">
      <c r="A13" s="2220" t="s">
        <v>370</v>
      </c>
      <c r="B13" s="2221"/>
      <c r="C13" s="2221"/>
      <c r="D13" s="2221"/>
      <c r="E13" s="2222"/>
      <c r="F13" s="785"/>
      <c r="G13" s="786"/>
      <c r="H13" s="787"/>
      <c r="I13" s="788"/>
      <c r="J13" s="788"/>
      <c r="K13" s="788"/>
    </row>
    <row r="14" spans="1:11" x14ac:dyDescent="0.2">
      <c r="A14" s="2242" t="s">
        <v>456</v>
      </c>
      <c r="B14" s="2242"/>
      <c r="C14" s="2242"/>
      <c r="D14" s="2242"/>
      <c r="E14" s="2243"/>
      <c r="F14" s="789" t="s">
        <v>854</v>
      </c>
      <c r="G14" s="782"/>
      <c r="H14" s="764">
        <v>40865</v>
      </c>
      <c r="I14" s="771"/>
      <c r="J14" s="773"/>
      <c r="K14" s="765">
        <v>9291</v>
      </c>
    </row>
    <row r="15" spans="1:11" x14ac:dyDescent="0.2">
      <c r="A15" s="2209" t="s">
        <v>4</v>
      </c>
      <c r="B15" s="2209"/>
      <c r="C15" s="2209"/>
      <c r="D15" s="2209"/>
      <c r="E15" s="2237"/>
      <c r="F15" s="789" t="s">
        <v>855</v>
      </c>
      <c r="G15" s="771"/>
      <c r="H15" s="764"/>
      <c r="I15" s="764"/>
      <c r="J15" s="765"/>
      <c r="K15" s="765"/>
    </row>
    <row r="16" spans="1:11" x14ac:dyDescent="0.2">
      <c r="A16" s="2209" t="s">
        <v>298</v>
      </c>
      <c r="B16" s="2209"/>
      <c r="C16" s="2209"/>
      <c r="D16" s="2209"/>
      <c r="E16" s="2237"/>
      <c r="F16" s="789" t="s">
        <v>923</v>
      </c>
      <c r="G16" s="772"/>
      <c r="H16" s="767"/>
      <c r="I16" s="767"/>
      <c r="J16" s="769"/>
      <c r="K16" s="769"/>
    </row>
    <row r="17" spans="1:11" x14ac:dyDescent="0.2">
      <c r="A17" s="2231" t="s">
        <v>935</v>
      </c>
      <c r="B17" s="2231"/>
      <c r="C17" s="2231"/>
      <c r="D17" s="2231"/>
      <c r="E17" s="2232"/>
      <c r="F17" s="790"/>
      <c r="G17" s="791"/>
      <c r="H17" s="792"/>
      <c r="I17" s="792"/>
      <c r="J17" s="793"/>
      <c r="K17" s="794"/>
    </row>
    <row r="18" spans="1:11" x14ac:dyDescent="0.2">
      <c r="A18" s="2223" t="s">
        <v>368</v>
      </c>
      <c r="B18" s="2224"/>
      <c r="C18" s="2224"/>
      <c r="D18" s="2224"/>
      <c r="E18" s="2225"/>
      <c r="F18" s="789" t="s">
        <v>932</v>
      </c>
      <c r="G18" s="782"/>
      <c r="H18" s="782"/>
      <c r="I18" s="782"/>
      <c r="J18" s="765"/>
      <c r="K18" s="795"/>
    </row>
    <row r="19" spans="1:11" ht="21.75" customHeight="1" x14ac:dyDescent="0.2">
      <c r="A19" s="2244" t="s">
        <v>1809</v>
      </c>
      <c r="B19" s="2244"/>
      <c r="C19" s="2244"/>
      <c r="D19" s="2244"/>
      <c r="E19" s="2245"/>
      <c r="F19" s="789" t="s">
        <v>933</v>
      </c>
      <c r="G19" s="782"/>
      <c r="H19" s="782"/>
      <c r="I19" s="782"/>
      <c r="J19" s="765"/>
      <c r="K19" s="795"/>
    </row>
    <row r="20" spans="1:11" x14ac:dyDescent="0.2">
      <c r="A20" s="2223" t="s">
        <v>1814</v>
      </c>
      <c r="B20" s="2224"/>
      <c r="C20" s="2224"/>
      <c r="D20" s="2224"/>
      <c r="E20" s="2225"/>
      <c r="F20" s="789" t="s">
        <v>934</v>
      </c>
      <c r="G20" s="782"/>
      <c r="H20" s="782"/>
      <c r="I20" s="782"/>
      <c r="J20" s="765"/>
      <c r="K20" s="795"/>
    </row>
    <row r="21" spans="1:11" ht="13.5" thickBot="1" x14ac:dyDescent="0.25">
      <c r="A21" s="2229" t="s">
        <v>638</v>
      </c>
      <c r="B21" s="2229"/>
      <c r="C21" s="2229"/>
      <c r="D21" s="2229"/>
      <c r="E21" s="2229"/>
      <c r="F21" s="1757"/>
      <c r="G21" s="792"/>
      <c r="H21" s="796"/>
      <c r="I21" s="796"/>
      <c r="J21" s="1758">
        <f>SUM(J18:J20)</f>
        <v>0</v>
      </c>
      <c r="K21" s="793"/>
    </row>
    <row r="22" spans="1:11" ht="13.5" thickTop="1" x14ac:dyDescent="0.2">
      <c r="A22" s="2209" t="s">
        <v>1815</v>
      </c>
      <c r="B22" s="2209"/>
      <c r="C22" s="2209"/>
      <c r="D22" s="2209"/>
      <c r="E22" s="2237"/>
      <c r="F22" s="789" t="s">
        <v>862</v>
      </c>
      <c r="G22" s="782"/>
      <c r="H22" s="764"/>
      <c r="I22" s="764"/>
      <c r="J22" s="797"/>
      <c r="K22" s="765"/>
    </row>
    <row r="23" spans="1:11" ht="13.5" thickBot="1" x14ac:dyDescent="0.25">
      <c r="A23" s="2230" t="s">
        <v>906</v>
      </c>
      <c r="B23" s="2229"/>
      <c r="C23" s="2229"/>
      <c r="D23" s="2229"/>
      <c r="E23" s="2229"/>
      <c r="F23" s="1759"/>
      <c r="G23" s="1756">
        <f>SUM(G14:G16,G21,G22)</f>
        <v>0</v>
      </c>
      <c r="H23" s="1756">
        <f>SUM(H14:H16,H21,H22)</f>
        <v>40865</v>
      </c>
      <c r="I23" s="1756">
        <f>SUM(I14:I16,I21,I22)</f>
        <v>0</v>
      </c>
      <c r="J23" s="1756">
        <f>SUM(J14:J16,J21,J22)</f>
        <v>0</v>
      </c>
      <c r="K23" s="1756">
        <f>SUM(K14:K16,K21,K22)</f>
        <v>9291</v>
      </c>
    </row>
    <row r="24" spans="1:11" ht="14.25" thickTop="1" thickBot="1" x14ac:dyDescent="0.25">
      <c r="A24" s="2230" t="s">
        <v>1964</v>
      </c>
      <c r="B24" s="2229"/>
      <c r="C24" s="2229"/>
      <c r="D24" s="2229"/>
      <c r="E24" s="2229"/>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9"/>
      <c r="I31" s="2240"/>
      <c r="J31" s="2240"/>
      <c r="K31" s="2240"/>
    </row>
    <row r="32" spans="1:11" x14ac:dyDescent="0.2">
      <c r="A32" s="809"/>
      <c r="B32" s="237"/>
      <c r="C32" s="237"/>
      <c r="D32" s="237"/>
      <c r="E32" s="805"/>
      <c r="F32" s="811" t="s">
        <v>540</v>
      </c>
      <c r="G32" s="764"/>
      <c r="H32" s="2241"/>
      <c r="I32" s="2240"/>
      <c r="J32" s="2240"/>
      <c r="K32" s="2240"/>
    </row>
    <row r="33" spans="1:11" ht="1.5" customHeight="1" x14ac:dyDescent="0.2">
      <c r="A33" s="812" t="s">
        <v>1169</v>
      </c>
      <c r="B33" s="364"/>
      <c r="C33" s="364"/>
      <c r="D33" s="364"/>
      <c r="E33" s="364"/>
      <c r="F33" s="364"/>
      <c r="G33" s="813"/>
      <c r="H33" s="2241"/>
      <c r="I33" s="2240"/>
      <c r="J33" s="2240"/>
      <c r="K33" s="224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09" t="s">
        <v>541</v>
      </c>
      <c r="B41" s="2210"/>
      <c r="C41" s="2210"/>
      <c r="D41" s="2210"/>
      <c r="E41" s="2210"/>
      <c r="F41" s="221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1908</v>
      </c>
      <c r="B1" s="2249"/>
      <c r="C1" s="2250"/>
      <c r="D1" s="826"/>
      <c r="E1" s="827"/>
      <c r="F1" s="827"/>
      <c r="G1" s="828"/>
      <c r="H1" s="829"/>
      <c r="I1" s="830"/>
      <c r="J1" s="2246"/>
      <c r="K1" s="2247"/>
      <c r="L1" s="2247"/>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103400</v>
      </c>
      <c r="D5" s="841"/>
      <c r="E5" s="841"/>
      <c r="F5" s="1758">
        <f>(C5+D5)-E5</f>
        <v>103400</v>
      </c>
      <c r="G5" s="837"/>
      <c r="H5" s="842"/>
      <c r="I5" s="842"/>
      <c r="J5" s="842"/>
      <c r="K5" s="793"/>
      <c r="L5" s="1767">
        <f>F5-K5</f>
        <v>103400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6770203</v>
      </c>
      <c r="D8" s="844">
        <v>359988</v>
      </c>
      <c r="E8" s="844"/>
      <c r="F8" s="1758">
        <f>(C8+D8)-E8</f>
        <v>7130191</v>
      </c>
      <c r="G8" s="843">
        <v>50</v>
      </c>
      <c r="H8" s="765">
        <v>3723107</v>
      </c>
      <c r="I8" s="765">
        <v>146008</v>
      </c>
      <c r="J8" s="765"/>
      <c r="K8" s="1767">
        <f>(H8+I8)-J8</f>
        <v>3869115</v>
      </c>
      <c r="L8" s="1767">
        <f>F8-K8</f>
        <v>3261076</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589979</v>
      </c>
      <c r="D10" s="846"/>
      <c r="E10" s="846"/>
      <c r="F10" s="1762">
        <f>(C10+D10)-E10</f>
        <v>589979</v>
      </c>
      <c r="G10" s="843">
        <v>20</v>
      </c>
      <c r="H10" s="847">
        <v>362090</v>
      </c>
      <c r="I10" s="847">
        <v>19157</v>
      </c>
      <c r="J10" s="847"/>
      <c r="K10" s="1767">
        <f>(H10+I10)-J10</f>
        <v>381247</v>
      </c>
      <c r="L10" s="1767">
        <f>F10-K10</f>
        <v>208732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1246322</v>
      </c>
      <c r="D12" s="844">
        <f>694+72224+28013</f>
        <v>100931</v>
      </c>
      <c r="E12" s="844"/>
      <c r="F12" s="1758">
        <f>(C12+D12)-E12</f>
        <v>1347253</v>
      </c>
      <c r="G12" s="843">
        <v>10</v>
      </c>
      <c r="H12" s="765">
        <v>1072957</v>
      </c>
      <c r="I12" s="765">
        <f>1560+35551+2803</f>
        <v>39914</v>
      </c>
      <c r="J12" s="765"/>
      <c r="K12" s="1767">
        <f>(H12+I12)-J12</f>
        <v>1112871</v>
      </c>
      <c r="L12" s="1767">
        <f>F12-K12</f>
        <v>234382</v>
      </c>
    </row>
    <row r="13" spans="1:14" ht="14.25" thickTop="1" thickBot="1" x14ac:dyDescent="0.25">
      <c r="A13" s="848" t="s">
        <v>1122</v>
      </c>
      <c r="B13" s="840">
        <v>252</v>
      </c>
      <c r="C13" s="844">
        <v>1423698</v>
      </c>
      <c r="D13" s="844">
        <v>5100</v>
      </c>
      <c r="E13" s="844">
        <v>44339</v>
      </c>
      <c r="F13" s="1758">
        <f>(C13+D13)-E13</f>
        <v>1384459</v>
      </c>
      <c r="G13" s="843">
        <v>5</v>
      </c>
      <c r="H13" s="765">
        <v>1103401</v>
      </c>
      <c r="I13" s="765">
        <f>42766+84986</f>
        <v>127752</v>
      </c>
      <c r="J13" s="765">
        <v>44339</v>
      </c>
      <c r="K13" s="1767">
        <f>(H13+I13)-J13</f>
        <v>1186814</v>
      </c>
      <c r="L13" s="1767">
        <f>F13-K13</f>
        <v>197645</v>
      </c>
    </row>
    <row r="14" spans="1:14" ht="14.25" thickTop="1" thickBot="1" x14ac:dyDescent="0.25">
      <c r="A14" s="848" t="s">
        <v>1123</v>
      </c>
      <c r="B14" s="840">
        <v>253</v>
      </c>
      <c r="C14" s="765">
        <v>445863</v>
      </c>
      <c r="D14" s="765"/>
      <c r="E14" s="765"/>
      <c r="F14" s="1758">
        <f>(C14+D14)-E14</f>
        <v>445863</v>
      </c>
      <c r="G14" s="843">
        <v>3</v>
      </c>
      <c r="H14" s="765">
        <v>445863</v>
      </c>
      <c r="I14" s="765"/>
      <c r="J14" s="765"/>
      <c r="K14" s="1767">
        <f>(H14+I14)-J14</f>
        <v>445863</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10579465</v>
      </c>
      <c r="D16" s="1758">
        <f>SUM(D3,D5:D6,D8:D10,D12:D15)</f>
        <v>466019</v>
      </c>
      <c r="E16" s="1758">
        <f>SUM(E3,E5:E6,E8:E10,E12:E15)</f>
        <v>44339</v>
      </c>
      <c r="F16" s="1758">
        <f>SUM(F3,F5:F6,F8:F10,F12:F15)</f>
        <v>11001145</v>
      </c>
      <c r="G16" s="843"/>
      <c r="H16" s="1758">
        <f>SUM(H3,H6,H8:H10,H12:H14,)</f>
        <v>6707418</v>
      </c>
      <c r="I16" s="1758">
        <f>SUM(I3,I6,I8:I10,I12:I14,)</f>
        <v>332831</v>
      </c>
      <c r="J16" s="1758">
        <f>SUM(J3,J6,J8:J10,J12:J14,)</f>
        <v>44339</v>
      </c>
      <c r="K16" s="1758">
        <f>(H16+I16)-J16</f>
        <v>6995910</v>
      </c>
      <c r="L16" s="1758">
        <f>F16-K16</f>
        <v>4005235</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332831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I188" sqref="I18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4" t="s">
        <v>1974</v>
      </c>
      <c r="B1" s="2255"/>
      <c r="C1" s="2255"/>
      <c r="D1" s="2255"/>
      <c r="E1" s="2255"/>
      <c r="F1" s="2256"/>
      <c r="G1" s="855"/>
    </row>
    <row r="2" spans="1:7" ht="15" customHeight="1" thickBot="1" x14ac:dyDescent="0.25">
      <c r="A2" s="2257" t="s">
        <v>477</v>
      </c>
      <c r="B2" s="2258"/>
      <c r="C2" s="2258"/>
      <c r="D2" s="2258"/>
      <c r="E2" s="2258"/>
      <c r="F2" s="225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5254580</v>
      </c>
      <c r="G8" s="865"/>
    </row>
    <row r="9" spans="1:7" x14ac:dyDescent="0.2">
      <c r="A9" s="869" t="s">
        <v>460</v>
      </c>
      <c r="B9" s="870" t="s">
        <v>1876</v>
      </c>
      <c r="C9" s="871"/>
      <c r="D9" s="869" t="s">
        <v>501</v>
      </c>
      <c r="E9" s="868"/>
      <c r="F9" s="1906">
        <f>'Expenditures 15-22'!K151</f>
        <v>604291</v>
      </c>
      <c r="G9" s="872"/>
    </row>
    <row r="10" spans="1:7" x14ac:dyDescent="0.2">
      <c r="A10" s="869" t="s">
        <v>499</v>
      </c>
      <c r="B10" s="870" t="s">
        <v>1877</v>
      </c>
      <c r="C10" s="871"/>
      <c r="D10" s="869" t="s">
        <v>501</v>
      </c>
      <c r="E10" s="868"/>
      <c r="F10" s="1906">
        <f>'Expenditures 15-22'!K174</f>
        <v>0</v>
      </c>
      <c r="G10" s="872"/>
    </row>
    <row r="11" spans="1:7" x14ac:dyDescent="0.2">
      <c r="A11" s="869" t="s">
        <v>461</v>
      </c>
      <c r="B11" s="870" t="s">
        <v>1878</v>
      </c>
      <c r="C11" s="871"/>
      <c r="D11" s="869" t="s">
        <v>501</v>
      </c>
      <c r="E11" s="868"/>
      <c r="F11" s="1906">
        <f>'Expenditures 15-22'!K210</f>
        <v>428831</v>
      </c>
      <c r="G11" s="872"/>
    </row>
    <row r="12" spans="1:7" x14ac:dyDescent="0.2">
      <c r="A12" s="869" t="s">
        <v>462</v>
      </c>
      <c r="B12" s="870" t="s">
        <v>1879</v>
      </c>
      <c r="C12" s="871"/>
      <c r="D12" s="869" t="s">
        <v>501</v>
      </c>
      <c r="E12" s="868"/>
      <c r="F12" s="1906">
        <f>'Expenditures 15-22'!K295</f>
        <v>255459</v>
      </c>
      <c r="G12" s="872"/>
    </row>
    <row r="13" spans="1:7" x14ac:dyDescent="0.2">
      <c r="A13" s="869" t="s">
        <v>106</v>
      </c>
      <c r="B13" s="870" t="s">
        <v>1880</v>
      </c>
      <c r="C13" s="871"/>
      <c r="D13" s="869" t="s">
        <v>501</v>
      </c>
      <c r="E13" s="868"/>
      <c r="F13" s="1906">
        <f>'Expenditures 15-22'!K342</f>
        <v>300710</v>
      </c>
      <c r="G13" s="873"/>
    </row>
    <row r="14" spans="1:7" ht="12" customHeight="1" thickBot="1" x14ac:dyDescent="0.25">
      <c r="A14" s="1768"/>
      <c r="B14" s="1769"/>
      <c r="C14" s="1770"/>
      <c r="D14" s="1771" t="s">
        <v>501</v>
      </c>
      <c r="E14" s="1772" t="s">
        <v>958</v>
      </c>
      <c r="F14" s="1773">
        <f>SUM(F8:F13)</f>
        <v>6843871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2001</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148198</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31650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1282</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151358</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1689</v>
      </c>
      <c r="G52" s="865"/>
    </row>
    <row r="53" spans="1:7" x14ac:dyDescent="0.2">
      <c r="A53" s="869" t="s">
        <v>459</v>
      </c>
      <c r="B53" s="869" t="s">
        <v>1475</v>
      </c>
      <c r="C53" s="889">
        <f>'Expenditures 15-22'!B102</f>
        <v>4000</v>
      </c>
      <c r="D53" s="888" t="str">
        <f>'Expenditures 15-22'!A102</f>
        <v>Total Payments to Other Govt Units</v>
      </c>
      <c r="E53" s="868"/>
      <c r="F53" s="1910">
        <f>'Expenditures 15-22'!K102</f>
        <v>154011</v>
      </c>
      <c r="G53" s="865"/>
    </row>
    <row r="54" spans="1:7" x14ac:dyDescent="0.2">
      <c r="A54" s="869" t="s">
        <v>459</v>
      </c>
      <c r="B54" s="869" t="s">
        <v>1476</v>
      </c>
      <c r="C54" s="889" t="s">
        <v>982</v>
      </c>
      <c r="D54" s="885" t="s">
        <v>1095</v>
      </c>
      <c r="E54" s="868"/>
      <c r="F54" s="1910">
        <f>'Expenditures 15-22'!G114</f>
        <v>65277</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35654</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22876</v>
      </c>
      <c r="G64" s="865"/>
    </row>
    <row r="65" spans="1:8" x14ac:dyDescent="0.2">
      <c r="A65" s="869" t="s">
        <v>461</v>
      </c>
      <c r="B65" s="869" t="s">
        <v>1889</v>
      </c>
      <c r="C65" s="886" t="s">
        <v>982</v>
      </c>
      <c r="D65" s="885" t="s">
        <v>1095</v>
      </c>
      <c r="E65" s="868"/>
      <c r="F65" s="1910">
        <f>'Expenditures 15-22'!G210</f>
        <v>5100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7946</v>
      </c>
      <c r="G67" s="865"/>
    </row>
    <row r="68" spans="1:8" x14ac:dyDescent="0.2">
      <c r="A68" s="869" t="s">
        <v>462</v>
      </c>
      <c r="B68" s="869" t="s">
        <v>1479</v>
      </c>
      <c r="C68" s="886" t="str">
        <f>'Expenditures 15-22'!B218</f>
        <v>1225</v>
      </c>
      <c r="D68" s="892" t="str">
        <f>'Expenditures 15-22'!A218</f>
        <v>Special Education Programs - Pre-K</v>
      </c>
      <c r="E68" s="868"/>
      <c r="F68" s="1910">
        <f>'Expenditures 15-22'!K218</f>
        <v>2011</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14</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627066</v>
      </c>
      <c r="G76" s="865"/>
    </row>
    <row r="77" spans="1:8" s="893" customFormat="1" ht="12" customHeight="1" thickTop="1" thickBot="1" x14ac:dyDescent="0.25">
      <c r="A77" s="1777"/>
      <c r="B77" s="1774"/>
      <c r="C77" s="1770"/>
      <c r="D77" s="1775" t="s">
        <v>1899</v>
      </c>
      <c r="E77" s="1772"/>
      <c r="F77" s="1778">
        <f>(F14-F76)</f>
        <v>6216805</v>
      </c>
      <c r="G77" s="869"/>
    </row>
    <row r="78" spans="1:8" s="893" customFormat="1" ht="12" customHeight="1" thickTop="1" x14ac:dyDescent="0.2">
      <c r="A78" s="1779"/>
      <c r="B78" s="1774"/>
      <c r="C78" s="1770"/>
      <c r="D78" s="1775" t="s">
        <v>2061</v>
      </c>
      <c r="E78" s="1772"/>
      <c r="F78" s="898">
        <v>483.678</v>
      </c>
      <c r="G78" s="899"/>
      <c r="H78" s="869"/>
    </row>
    <row r="79" spans="1:8" s="893" customFormat="1" ht="12" customHeight="1" thickBot="1" x14ac:dyDescent="0.25">
      <c r="A79" s="1780"/>
      <c r="B79" s="1774"/>
      <c r="C79" s="1770"/>
      <c r="D79" s="1775" t="s">
        <v>1900</v>
      </c>
      <c r="E79" s="1772" t="s">
        <v>958</v>
      </c>
      <c r="F79" s="1781">
        <f>IF(F78&gt;0,F77/F78," Complete Line 78")</f>
        <v>12853.189518646703</v>
      </c>
      <c r="G79" s="869"/>
    </row>
    <row r="80" spans="1:8" s="893" customFormat="1" ht="8.25" customHeight="1" thickTop="1" x14ac:dyDescent="0.2">
      <c r="A80" s="900"/>
      <c r="B80" s="869"/>
      <c r="C80" s="871"/>
      <c r="D80" s="901"/>
      <c r="E80" s="868"/>
      <c r="F80" s="902"/>
      <c r="G80" s="869"/>
    </row>
    <row r="81" spans="1:7" s="893" customFormat="1" ht="12" thickBot="1" x14ac:dyDescent="0.25">
      <c r="A81" s="2251" t="s">
        <v>1105</v>
      </c>
      <c r="B81" s="2252"/>
      <c r="C81" s="2252"/>
      <c r="D81" s="2252"/>
      <c r="E81" s="2252"/>
      <c r="F81" s="225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70893</v>
      </c>
      <c r="G94" s="912"/>
    </row>
    <row r="95" spans="1:7" x14ac:dyDescent="0.2">
      <c r="A95" s="908" t="s">
        <v>140</v>
      </c>
      <c r="B95" s="908" t="s">
        <v>175</v>
      </c>
      <c r="C95" s="910">
        <v>1700</v>
      </c>
      <c r="D95" s="918" t="str">
        <f>'Revenues 9-14'!A82</f>
        <v>Total District/School Activity Income</v>
      </c>
      <c r="E95" s="906"/>
      <c r="F95" s="1787">
        <f>SUM('Revenues 9-14'!C82,'Revenues 9-14'!D82)</f>
        <v>29768</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632</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22097</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4921</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2002</v>
      </c>
      <c r="C105" s="913">
        <v>3100</v>
      </c>
      <c r="D105" s="919" t="str">
        <f>'Revenues 9-14'!A132</f>
        <v>Total Special Education</v>
      </c>
      <c r="E105" s="906"/>
      <c r="F105" s="1787">
        <f>SUM('Revenues 9-14'!C132:D132,'Revenues 9-14'!F132)</f>
        <v>27082</v>
      </c>
      <c r="G105" s="912"/>
    </row>
    <row r="106" spans="1:7" x14ac:dyDescent="0.2">
      <c r="A106" s="908" t="s">
        <v>673</v>
      </c>
      <c r="B106" s="908" t="s">
        <v>2003</v>
      </c>
      <c r="C106" s="920">
        <v>3200</v>
      </c>
      <c r="D106" s="911" t="str">
        <f>'Revenues 9-14'!A141</f>
        <v>Total Career and Technical Education</v>
      </c>
      <c r="E106" s="906"/>
      <c r="F106" s="1787">
        <f>SUM('Revenues 9-14'!C141,'Revenues 9-14'!D141,'Revenues 9-14'!G141)</f>
        <v>4293</v>
      </c>
      <c r="G106" s="912"/>
    </row>
    <row r="107" spans="1:7" x14ac:dyDescent="0.2">
      <c r="A107" s="921" t="s">
        <v>664</v>
      </c>
      <c r="B107" s="908" t="s">
        <v>2004</v>
      </c>
      <c r="C107" s="920">
        <v>3300</v>
      </c>
      <c r="D107" s="911" t="str">
        <f>'Revenues 9-14'!A145</f>
        <v>Total Bilingual Ed</v>
      </c>
      <c r="E107" s="906"/>
      <c r="F107" s="1787">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7">
        <f>'Revenues 9-14'!C146</f>
        <v>2333</v>
      </c>
      <c r="G108" s="912"/>
    </row>
    <row r="109" spans="1:7" x14ac:dyDescent="0.2">
      <c r="A109" s="908" t="s">
        <v>673</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9291</v>
      </c>
      <c r="G110" s="912"/>
    </row>
    <row r="111" spans="1:7" x14ac:dyDescent="0.2">
      <c r="A111" s="908" t="s">
        <v>668</v>
      </c>
      <c r="B111" s="908" t="s">
        <v>2008</v>
      </c>
      <c r="C111" s="922">
        <v>3500</v>
      </c>
      <c r="D111" s="911" t="str">
        <f>'Revenues 9-14'!A155</f>
        <v>Total Transportation</v>
      </c>
      <c r="E111" s="906"/>
      <c r="F111" s="1787">
        <f>SUM('Revenues 9-14'!C155,'Revenues 9-14'!D155,'Revenues 9-14'!F155,'Revenues 9-14'!G155)</f>
        <v>260725</v>
      </c>
      <c r="G111" s="912"/>
    </row>
    <row r="112" spans="1:7" x14ac:dyDescent="0.2">
      <c r="A112" s="908" t="s">
        <v>459</v>
      </c>
      <c r="B112" s="908" t="s">
        <v>2009</v>
      </c>
      <c r="C112" s="920">
        <f>'Revenues 9-14'!B156</f>
        <v>3610</v>
      </c>
      <c r="D112" s="911" t="str">
        <f>'Revenues 9-14'!A156</f>
        <v>Learning Improvement - Change Grants</v>
      </c>
      <c r="E112" s="906"/>
      <c r="F112" s="1787">
        <f>'Revenues 9-14'!C156</f>
        <v>0</v>
      </c>
      <c r="G112" s="912"/>
    </row>
    <row r="113" spans="1:7" x14ac:dyDescent="0.2">
      <c r="A113" s="908" t="s">
        <v>668</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4">
        <f>SUM('Revenues 9-14'!C163:G163)</f>
        <v>0</v>
      </c>
      <c r="G118" s="912"/>
    </row>
    <row r="119" spans="1:7" x14ac:dyDescent="0.2">
      <c r="A119" s="923" t="s">
        <v>504</v>
      </c>
      <c r="B119" s="923" t="s">
        <v>2016</v>
      </c>
      <c r="C119" s="924">
        <f>'Revenues 9-14'!B164</f>
        <v>3815</v>
      </c>
      <c r="D119" s="925" t="str">
        <f>'Revenues 9-14'!A164</f>
        <v>State Charter Schools</v>
      </c>
      <c r="E119" s="906"/>
      <c r="F119" s="190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7">
        <f>'Revenues 9-14'!D167</f>
        <v>0</v>
      </c>
      <c r="G120" s="930"/>
    </row>
    <row r="121" spans="1:7" x14ac:dyDescent="0.2">
      <c r="A121" s="927" t="s">
        <v>500</v>
      </c>
      <c r="B121" s="927" t="s">
        <v>2018</v>
      </c>
      <c r="C121" s="928">
        <f>'Revenues 9-14'!B168</f>
        <v>3999</v>
      </c>
      <c r="D121" s="929" t="s">
        <v>543</v>
      </c>
      <c r="E121" s="931"/>
      <c r="F121" s="1787">
        <f>SUM('Revenues 9-14'!C168:G168,'Revenues 9-14'!J168)</f>
        <v>750</v>
      </c>
      <c r="G121" s="930"/>
    </row>
    <row r="122" spans="1:7" x14ac:dyDescent="0.2">
      <c r="A122" s="927" t="s">
        <v>459</v>
      </c>
      <c r="B122" s="927" t="s">
        <v>2019</v>
      </c>
      <c r="C122" s="932">
        <f>'Revenues 9-14'!B177</f>
        <v>4045</v>
      </c>
      <c r="D122" s="929" t="str">
        <f>'Revenues 9-14'!A177 &amp; " (Subtract)"</f>
        <v>Head Start (Subtract)</v>
      </c>
      <c r="E122" s="906"/>
      <c r="F122" s="1787">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2021</v>
      </c>
      <c r="C124" s="932">
        <v>4100</v>
      </c>
      <c r="D124" s="933" t="str">
        <f>'Revenues 9-14'!A188</f>
        <v>Total Title V</v>
      </c>
      <c r="E124" s="906"/>
      <c r="F124" s="1787">
        <f>SUM('Revenues 9-14'!C188,'Revenues 9-14'!D188,'Revenues 9-14'!F188,'Revenues 9-14'!G188)</f>
        <v>52321</v>
      </c>
      <c r="G124" s="930"/>
    </row>
    <row r="125" spans="1:7" x14ac:dyDescent="0.2">
      <c r="A125" s="927" t="s">
        <v>664</v>
      </c>
      <c r="B125" s="927" t="s">
        <v>2022</v>
      </c>
      <c r="C125" s="932">
        <v>4200</v>
      </c>
      <c r="D125" s="929" t="str">
        <f>'Revenues 9-14'!A198</f>
        <v>Total Food Service</v>
      </c>
      <c r="E125" s="906"/>
      <c r="F125" s="1787">
        <f>SUM('Revenues 9-14'!C198,'Revenues 9-14'!G198)</f>
        <v>128914</v>
      </c>
      <c r="G125" s="930"/>
    </row>
    <row r="126" spans="1:7" x14ac:dyDescent="0.2">
      <c r="A126" s="927" t="s">
        <v>668</v>
      </c>
      <c r="B126" s="927" t="s">
        <v>2023</v>
      </c>
      <c r="C126" s="932">
        <v>4300</v>
      </c>
      <c r="D126" s="933" t="str">
        <f>'Revenues 9-14'!A204</f>
        <v>Total Title I</v>
      </c>
      <c r="E126" s="906"/>
      <c r="F126" s="1787">
        <f>SUM('Revenues 9-14'!C204,'Revenues 9-14'!D204,'Revenues 9-14'!F204,'Revenues 9-14'!G204)</f>
        <v>133315</v>
      </c>
      <c r="G126" s="930"/>
    </row>
    <row r="127" spans="1:7" x14ac:dyDescent="0.2">
      <c r="A127" s="927" t="s">
        <v>668</v>
      </c>
      <c r="B127" s="927" t="s">
        <v>2024</v>
      </c>
      <c r="C127" s="932">
        <v>4400</v>
      </c>
      <c r="D127" s="933" t="str">
        <f>'Revenues 9-14'!A209</f>
        <v>Total Title IV</v>
      </c>
      <c r="E127" s="906"/>
      <c r="F127" s="1787">
        <f>SUM('Revenues 9-14'!C209,'Revenues 9-14'!D209,'Revenues 9-14'!F209,'Revenues 9-14'!G209)</f>
        <v>16113</v>
      </c>
      <c r="G127" s="930"/>
    </row>
    <row r="128" spans="1:7" x14ac:dyDescent="0.2">
      <c r="A128" s="927" t="s">
        <v>668</v>
      </c>
      <c r="B128" s="927" t="s">
        <v>2025</v>
      </c>
      <c r="C128" s="932">
        <f>'Revenues 9-14'!B213</f>
        <v>4620</v>
      </c>
      <c r="D128" s="933" t="str">
        <f>'Revenues 9-14'!A213</f>
        <v>Fed - Spec Education - IDEA - Flow Through</v>
      </c>
      <c r="E128" s="906"/>
      <c r="F128" s="1787">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2028</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2043</v>
      </c>
      <c r="C157" s="940" t="s">
        <v>841</v>
      </c>
      <c r="D157" s="941" t="s">
        <v>777</v>
      </c>
      <c r="E157" s="942"/>
      <c r="F157" s="1787">
        <f>SUM(F133:F156)</f>
        <v>0</v>
      </c>
      <c r="G157" s="905"/>
    </row>
    <row r="158" spans="1:7" s="867" customFormat="1" x14ac:dyDescent="0.2">
      <c r="A158" s="938" t="s">
        <v>459</v>
      </c>
      <c r="B158" s="939" t="s">
        <v>2044</v>
      </c>
      <c r="C158" s="940" t="s">
        <v>1427</v>
      </c>
      <c r="D158" s="941" t="s">
        <v>1428</v>
      </c>
      <c r="E158" s="942"/>
      <c r="F158" s="1787">
        <f>SUM('Revenues 9-14'!C253)</f>
        <v>0</v>
      </c>
      <c r="G158" s="905"/>
    </row>
    <row r="159" spans="1:7" s="867" customFormat="1" x14ac:dyDescent="0.2">
      <c r="A159" s="938" t="s">
        <v>500</v>
      </c>
      <c r="B159" s="939" t="s">
        <v>2045</v>
      </c>
      <c r="C159" s="940" t="s">
        <v>1466</v>
      </c>
      <c r="D159" s="941" t="s">
        <v>1467</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4">
        <f>SUM('Revenues 9-14'!C259,'Revenues 9-14'!D259,'Revenues 9-14'!F259,'Revenues 9-14'!G259)</f>
        <v>23752</v>
      </c>
      <c r="G164" s="930"/>
    </row>
    <row r="165" spans="1:7" x14ac:dyDescent="0.2">
      <c r="A165" s="927" t="s">
        <v>668</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7">
        <f>SUM('Revenues 9-14'!C263:D263,'Revenues 9-14'!F263:G263)</f>
        <v>8465</v>
      </c>
      <c r="G168" s="947">
        <v>6320</v>
      </c>
    </row>
    <row r="169" spans="1:7" x14ac:dyDescent="0.2">
      <c r="A169" s="927" t="s">
        <v>668</v>
      </c>
      <c r="B169" s="927" t="s">
        <v>2053</v>
      </c>
      <c r="C169" s="932">
        <f>'Revenues 9-14'!B264</f>
        <v>4992</v>
      </c>
      <c r="D169" s="933" t="str">
        <f>'Revenues 9-14'!A264</f>
        <v>Medicaid Matching Funds - Fee-for-Service Program</v>
      </c>
      <c r="E169" s="906"/>
      <c r="F169" s="1787">
        <f>SUM('Revenues 9-14'!C264:D264,'Revenues 9-14'!F264:G264)</f>
        <v>45279</v>
      </c>
      <c r="G169" s="947"/>
    </row>
    <row r="170" spans="1:7" x14ac:dyDescent="0.2">
      <c r="A170" s="948" t="s">
        <v>668</v>
      </c>
      <c r="B170" s="944" t="s">
        <v>2054</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197396</v>
      </c>
      <c r="G171" s="927"/>
    </row>
    <row r="172" spans="1:7" x14ac:dyDescent="0.2">
      <c r="A172" s="1915" t="s">
        <v>664</v>
      </c>
      <c r="B172" s="1916" t="s">
        <v>1919</v>
      </c>
      <c r="C172" s="1917">
        <v>3300</v>
      </c>
      <c r="D172" s="1918" t="s">
        <v>1922</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958</v>
      </c>
      <c r="F174" s="1786">
        <f>SUM(F84:F132,F157:F172)</f>
        <v>1038340</v>
      </c>
    </row>
    <row r="175" spans="1:7" ht="12" customHeight="1" x14ac:dyDescent="0.2">
      <c r="A175" s="1768"/>
      <c r="B175" s="1782"/>
      <c r="C175" s="1783"/>
      <c r="D175" s="1784" t="s">
        <v>2056</v>
      </c>
      <c r="E175" s="1785"/>
      <c r="F175" s="1787">
        <f>'PCTC-OEPP 27-28'!F77-F174</f>
        <v>5178465</v>
      </c>
    </row>
    <row r="176" spans="1:7" ht="12" customHeight="1" x14ac:dyDescent="0.2">
      <c r="A176" s="1768"/>
      <c r="B176" s="1782"/>
      <c r="C176" s="1783"/>
      <c r="D176" s="1784" t="s">
        <v>1817</v>
      </c>
      <c r="E176" s="1785"/>
      <c r="F176" s="1787">
        <f>'Cap Outlay Deprec 26'!I18</f>
        <v>332831</v>
      </c>
    </row>
    <row r="177" spans="1:7" ht="12" customHeight="1" x14ac:dyDescent="0.2">
      <c r="A177" s="1768"/>
      <c r="B177" s="1782"/>
      <c r="C177" s="1783"/>
      <c r="D177" s="1784" t="s">
        <v>2057</v>
      </c>
      <c r="E177" s="1785"/>
      <c r="F177" s="1787">
        <f>F175+F176</f>
        <v>5511296</v>
      </c>
    </row>
    <row r="178" spans="1:7" ht="12" customHeight="1" x14ac:dyDescent="0.2">
      <c r="A178" s="1768"/>
      <c r="B178" s="1788"/>
      <c r="C178" s="1783"/>
      <c r="D178" s="1784" t="str">
        <f>D78</f>
        <v>9 Month ADA from District Average Daily Attendance/Prior General State Aid Inquiry 2018-2019</v>
      </c>
      <c r="E178" s="1785"/>
      <c r="F178" s="1789">
        <f>'PCTC-OEPP 27-28'!F78</f>
        <v>483.678</v>
      </c>
      <c r="G178" s="930"/>
    </row>
    <row r="179" spans="1:7" ht="12" customHeight="1" thickBot="1" x14ac:dyDescent="0.25">
      <c r="A179" s="1768"/>
      <c r="B179" s="1788"/>
      <c r="C179" s="1783"/>
      <c r="D179" s="1784" t="s">
        <v>2058</v>
      </c>
      <c r="E179" s="1785" t="s">
        <v>1545</v>
      </c>
      <c r="F179" s="1790">
        <f>F177/F178</f>
        <v>11394.555882219162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zoomScaleNormal="100" workbookViewId="0">
      <selection activeCell="A27" sqref="A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5" t="s">
        <v>1818</v>
      </c>
      <c r="B4" s="2266"/>
      <c r="C4" s="2266"/>
      <c r="D4" s="2266"/>
      <c r="E4" s="2266"/>
      <c r="F4" s="2266"/>
      <c r="G4" s="2267"/>
    </row>
    <row r="5" spans="1:7" x14ac:dyDescent="0.25">
      <c r="A5" s="2268"/>
      <c r="B5" s="2269"/>
      <c r="C5" s="2269"/>
      <c r="D5" s="2269"/>
      <c r="E5" s="2269"/>
      <c r="F5" s="2269"/>
      <c r="G5" s="2270"/>
    </row>
    <row r="6" spans="1:7" ht="18.75" x14ac:dyDescent="0.25">
      <c r="A6" s="1534" t="s">
        <v>1819</v>
      </c>
      <c r="B6" s="1535"/>
      <c r="C6" s="1535"/>
      <c r="D6" s="1535"/>
      <c r="E6" s="1535"/>
      <c r="F6" s="1535"/>
      <c r="G6" s="1536"/>
    </row>
    <row r="7" spans="1:7" ht="30.75" customHeight="1" x14ac:dyDescent="0.25">
      <c r="A7" s="2271" t="s">
        <v>1931</v>
      </c>
      <c r="B7" s="2272"/>
      <c r="C7" s="2272"/>
      <c r="D7" s="2272"/>
      <c r="E7" s="2272"/>
      <c r="F7" s="2272"/>
      <c r="G7" s="2273"/>
    </row>
    <row r="8" spans="1:7" ht="15.75" customHeight="1" x14ac:dyDescent="0.25">
      <c r="A8" s="2274" t="s">
        <v>1906</v>
      </c>
      <c r="B8" s="2275"/>
      <c r="C8" s="2275"/>
      <c r="D8" s="2275"/>
      <c r="E8" s="2275"/>
      <c r="F8" s="2275"/>
      <c r="G8" s="2276"/>
    </row>
    <row r="9" spans="1:7" ht="35.25" customHeight="1" x14ac:dyDescent="0.25">
      <c r="A9" s="2271" t="s">
        <v>1934</v>
      </c>
      <c r="B9" s="2272"/>
      <c r="C9" s="2272"/>
      <c r="D9" s="2272"/>
      <c r="E9" s="2272"/>
      <c r="F9" s="2272"/>
      <c r="G9" s="2273"/>
    </row>
    <row r="10" spans="1:7" ht="15" customHeight="1" x14ac:dyDescent="0.25">
      <c r="A10" s="1537" t="s">
        <v>1820</v>
      </c>
      <c r="B10" s="1538"/>
      <c r="C10" s="1538"/>
      <c r="D10" s="1538"/>
      <c r="E10" s="1538"/>
      <c r="F10" s="1538"/>
      <c r="G10" s="1539"/>
    </row>
    <row r="11" spans="1:7" ht="17.25" customHeight="1" x14ac:dyDescent="0.25">
      <c r="A11" s="2271" t="s">
        <v>1933</v>
      </c>
      <c r="B11" s="2272"/>
      <c r="C11" s="2272"/>
      <c r="D11" s="2272"/>
      <c r="E11" s="2272"/>
      <c r="F11" s="2272"/>
      <c r="G11" s="2273"/>
    </row>
    <row r="12" spans="1:7" ht="15" customHeight="1" x14ac:dyDescent="0.25">
      <c r="A12" s="1537" t="s">
        <v>1825</v>
      </c>
      <c r="B12" s="1538"/>
      <c r="C12" s="1538"/>
      <c r="D12" s="1538"/>
      <c r="E12" s="1538"/>
      <c r="F12" s="1538"/>
      <c r="G12" s="1539"/>
    </row>
    <row r="13" spans="1:7" ht="32.25" customHeight="1" x14ac:dyDescent="0.25">
      <c r="A13" s="2262" t="s">
        <v>1975</v>
      </c>
      <c r="B13" s="2263"/>
      <c r="C13" s="2263"/>
      <c r="D13" s="2263"/>
      <c r="E13" s="2263"/>
      <c r="F13" s="2263"/>
      <c r="G13" s="2264"/>
    </row>
    <row r="14" spans="1:7" x14ac:dyDescent="0.25">
      <c r="A14" s="1659" t="s">
        <v>1833</v>
      </c>
      <c r="B14" s="1660"/>
      <c r="C14" s="1660"/>
      <c r="D14" s="1660"/>
      <c r="E14" s="1660"/>
      <c r="F14" s="1660"/>
      <c r="G14" s="1661"/>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3" t="s">
        <v>2081</v>
      </c>
      <c r="B17" s="1934" t="s">
        <v>2082</v>
      </c>
      <c r="C17" s="1935" t="s">
        <v>2083</v>
      </c>
      <c r="D17" s="1841">
        <f>139+279+139+142+142+142+142+142+142+142+142+142+3500-245</f>
        <v>5090</v>
      </c>
      <c r="E17" s="1540">
        <f t="shared" ref="E17:E39" si="0">IF(D17&lt;=25000,D17,IF(D17&gt;25000,25000,0))</f>
        <v>5090</v>
      </c>
      <c r="F17" s="1929">
        <f t="shared" ref="F17:F3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5090</v>
      </c>
      <c r="G17" s="1791">
        <f>IF(F17=0,0,D17-F17)</f>
        <v>0</v>
      </c>
      <c r="H17" s="1647"/>
    </row>
    <row r="18" spans="1:8" x14ac:dyDescent="0.25">
      <c r="A18" s="1933" t="s">
        <v>2081</v>
      </c>
      <c r="B18" s="1934" t="s">
        <v>2082</v>
      </c>
      <c r="C18" s="1935" t="s">
        <v>2084</v>
      </c>
      <c r="D18" s="1841">
        <v>399</v>
      </c>
      <c r="E18" s="1540">
        <f t="shared" ref="E18:E38" si="2">IF(D18&lt;=25000,D18,IF(D18&gt;25000,25000,0))</f>
        <v>399</v>
      </c>
      <c r="F18" s="1929">
        <f t="shared" si="1"/>
        <v>399</v>
      </c>
      <c r="G18" s="1791">
        <f t="shared" ref="G18:G38" si="3">IF(F18=0,0,D18-F18)</f>
        <v>0</v>
      </c>
    </row>
    <row r="19" spans="1:8" x14ac:dyDescent="0.25">
      <c r="A19" s="1933" t="s">
        <v>2081</v>
      </c>
      <c r="B19" s="1934" t="s">
        <v>2082</v>
      </c>
      <c r="C19" s="1935" t="s">
        <v>2085</v>
      </c>
      <c r="D19" s="1841">
        <v>29445</v>
      </c>
      <c r="E19" s="1540">
        <f t="shared" si="2"/>
        <v>25000</v>
      </c>
      <c r="F19" s="1929">
        <f t="shared" si="1"/>
        <v>25000</v>
      </c>
      <c r="G19" s="1791">
        <f t="shared" si="3"/>
        <v>4445</v>
      </c>
    </row>
    <row r="20" spans="1:8" x14ac:dyDescent="0.25">
      <c r="A20" s="1933" t="s">
        <v>2081</v>
      </c>
      <c r="B20" s="1934" t="s">
        <v>2082</v>
      </c>
      <c r="C20" s="1935" t="s">
        <v>2086</v>
      </c>
      <c r="D20" s="1841">
        <f>18+52+182+357+26+21+17+37+185+409+29+27</f>
        <v>1360</v>
      </c>
      <c r="E20" s="1540">
        <f t="shared" si="2"/>
        <v>1360</v>
      </c>
      <c r="F20" s="1929">
        <f t="shared" si="1"/>
        <v>1360</v>
      </c>
      <c r="G20" s="1791">
        <f t="shared" si="3"/>
        <v>0</v>
      </c>
    </row>
    <row r="21" spans="1:8" x14ac:dyDescent="0.25">
      <c r="A21" s="1933" t="s">
        <v>2081</v>
      </c>
      <c r="B21" s="1934" t="s">
        <v>2082</v>
      </c>
      <c r="C21" s="1935" t="s">
        <v>2087</v>
      </c>
      <c r="D21" s="1841">
        <f>2351+243+290+293+298+296+295+294+293+293+297+292+294+167+201+206+208+207+206+215+205+207+209+210+208</f>
        <v>8278</v>
      </c>
      <c r="E21" s="1540">
        <f t="shared" si="2"/>
        <v>8278</v>
      </c>
      <c r="F21" s="1929">
        <f t="shared" si="1"/>
        <v>8278</v>
      </c>
      <c r="G21" s="1791">
        <f t="shared" si="3"/>
        <v>0</v>
      </c>
    </row>
    <row r="22" spans="1:8" x14ac:dyDescent="0.25">
      <c r="A22" s="1933" t="s">
        <v>2081</v>
      </c>
      <c r="B22" s="1934" t="s">
        <v>2082</v>
      </c>
      <c r="C22" s="1935" t="s">
        <v>2088</v>
      </c>
      <c r="D22" s="1841">
        <f>38+38+76+38+38+38+38+38+38+38+38</f>
        <v>456</v>
      </c>
      <c r="E22" s="1540">
        <f t="shared" si="2"/>
        <v>456</v>
      </c>
      <c r="F22" s="1929">
        <f t="shared" si="1"/>
        <v>456</v>
      </c>
      <c r="G22" s="1791">
        <f t="shared" si="3"/>
        <v>0</v>
      </c>
    </row>
    <row r="23" spans="1:8" x14ac:dyDescent="0.25">
      <c r="A23" s="1933" t="s">
        <v>2081</v>
      </c>
      <c r="B23" s="1934" t="s">
        <v>2082</v>
      </c>
      <c r="C23" s="1935" t="s">
        <v>2090</v>
      </c>
      <c r="D23" s="1841">
        <f>97+42+21+63+28+21+47+12+48</f>
        <v>379</v>
      </c>
      <c r="E23" s="1540">
        <f t="shared" si="2"/>
        <v>379</v>
      </c>
      <c r="F23" s="1929">
        <f t="shared" si="1"/>
        <v>379</v>
      </c>
      <c r="G23" s="1791">
        <f t="shared" si="3"/>
        <v>0</v>
      </c>
    </row>
    <row r="24" spans="1:8" x14ac:dyDescent="0.25">
      <c r="A24" s="1933" t="s">
        <v>2081</v>
      </c>
      <c r="B24" s="1934" t="s">
        <v>2082</v>
      </c>
      <c r="C24" s="1935" t="s">
        <v>2089</v>
      </c>
      <c r="D24" s="1841">
        <f>250+245</f>
        <v>495</v>
      </c>
      <c r="E24" s="1540">
        <f t="shared" si="2"/>
        <v>495</v>
      </c>
      <c r="F24" s="1929">
        <f t="shared" si="1"/>
        <v>495</v>
      </c>
      <c r="G24" s="1791">
        <f t="shared" si="3"/>
        <v>0</v>
      </c>
    </row>
    <row r="25" spans="1:8" x14ac:dyDescent="0.25">
      <c r="A25" s="1933" t="s">
        <v>2091</v>
      </c>
      <c r="B25" s="1934" t="s">
        <v>2092</v>
      </c>
      <c r="C25" s="1935" t="s">
        <v>2093</v>
      </c>
      <c r="D25" s="1841">
        <f>6300+6300</f>
        <v>12600</v>
      </c>
      <c r="E25" s="1540">
        <f t="shared" si="2"/>
        <v>12600</v>
      </c>
      <c r="F25" s="1929">
        <f t="shared" si="1"/>
        <v>0</v>
      </c>
      <c r="G25" s="1791">
        <f t="shared" si="3"/>
        <v>0</v>
      </c>
    </row>
    <row r="26" spans="1:8" x14ac:dyDescent="0.25">
      <c r="A26" s="1653"/>
      <c r="B26" s="1931"/>
      <c r="C26" s="1654"/>
      <c r="D26" s="1841"/>
      <c r="E26" s="1540">
        <f t="shared" si="2"/>
        <v>0</v>
      </c>
      <c r="F26" s="1929">
        <f t="shared" si="1"/>
        <v>0</v>
      </c>
      <c r="G26" s="1791">
        <f t="shared" si="3"/>
        <v>0</v>
      </c>
    </row>
    <row r="27" spans="1:8" x14ac:dyDescent="0.25">
      <c r="A27" s="1653"/>
      <c r="B27" s="1931"/>
      <c r="C27" s="1654"/>
      <c r="D27" s="1841"/>
      <c r="E27" s="1540">
        <f t="shared" si="2"/>
        <v>0</v>
      </c>
      <c r="F27" s="1929">
        <f t="shared" si="1"/>
        <v>0</v>
      </c>
      <c r="G27" s="1791">
        <f t="shared" si="3"/>
        <v>0</v>
      </c>
    </row>
    <row r="28" spans="1:8" x14ac:dyDescent="0.25">
      <c r="A28" s="1653"/>
      <c r="B28" s="1931"/>
      <c r="C28" s="1654"/>
      <c r="D28" s="1841"/>
      <c r="E28" s="1540">
        <f t="shared" si="2"/>
        <v>0</v>
      </c>
      <c r="F28" s="1929">
        <f t="shared" si="1"/>
        <v>0</v>
      </c>
      <c r="G28" s="1791">
        <f t="shared" si="3"/>
        <v>0</v>
      </c>
    </row>
    <row r="29" spans="1:8" x14ac:dyDescent="0.25">
      <c r="A29" s="1653"/>
      <c r="B29" s="1931"/>
      <c r="C29" s="1654"/>
      <c r="D29" s="1841"/>
      <c r="E29" s="1540">
        <f t="shared" si="2"/>
        <v>0</v>
      </c>
      <c r="F29" s="1929">
        <f t="shared" si="1"/>
        <v>0</v>
      </c>
      <c r="G29" s="1791">
        <f t="shared" si="3"/>
        <v>0</v>
      </c>
    </row>
    <row r="30" spans="1:8" x14ac:dyDescent="0.25">
      <c r="A30" s="1653"/>
      <c r="B30" s="1931"/>
      <c r="C30" s="1654"/>
      <c r="D30" s="1841"/>
      <c r="E30" s="1540">
        <f t="shared" si="2"/>
        <v>0</v>
      </c>
      <c r="F30" s="1929">
        <f t="shared" si="1"/>
        <v>0</v>
      </c>
      <c r="G30" s="1791">
        <f t="shared" si="3"/>
        <v>0</v>
      </c>
    </row>
    <row r="31" spans="1:8" x14ac:dyDescent="0.25">
      <c r="A31" s="1653"/>
      <c r="B31" s="1931"/>
      <c r="C31" s="1654"/>
      <c r="D31" s="1841"/>
      <c r="E31" s="1540">
        <f t="shared" si="2"/>
        <v>0</v>
      </c>
      <c r="F31" s="1929">
        <f t="shared" si="1"/>
        <v>0</v>
      </c>
      <c r="G31" s="1791">
        <f t="shared" si="3"/>
        <v>0</v>
      </c>
    </row>
    <row r="32" spans="1:8" x14ac:dyDescent="0.25">
      <c r="A32" s="1653"/>
      <c r="B32" s="1931"/>
      <c r="C32" s="1654"/>
      <c r="D32" s="1841"/>
      <c r="E32" s="1540">
        <f t="shared" si="2"/>
        <v>0</v>
      </c>
      <c r="F32" s="1929">
        <f t="shared" si="1"/>
        <v>0</v>
      </c>
      <c r="G32" s="1791">
        <f t="shared" si="3"/>
        <v>0</v>
      </c>
    </row>
    <row r="33" spans="1:7" x14ac:dyDescent="0.25">
      <c r="A33" s="1653"/>
      <c r="B33" s="1665"/>
      <c r="C33" s="1654"/>
      <c r="D33" s="1841"/>
      <c r="E33" s="1540">
        <f t="shared" ref="E33:E37" si="4">IF(D33&lt;=25000,D33,IF(D33&gt;25000,25000,0))</f>
        <v>0</v>
      </c>
      <c r="F33" s="1929">
        <f t="shared" ref="F33:F38" si="5">IF(OR(B33="10-1000-100",B33="10-1000-200",B33="10-1000-300",B33="10-1000-400",B33="10-1000-600",B33="10-1000-800",B33="50-1000-200",B33="10-2100-100",B33="10-2100-200",B33="10-2100-300",B33="10-2100-400",B33="10-2100-600",B33="10-2100-800",B33="20-2100-100",B33="20-2100-200",B33="20-2100-300",B33="20-2100-400",B33="20-2100-600",B33="20-2100-800",B33="40-2100-100",B33="40-2100-200",B33="40-2100-300",B33="40-2100-400",B33="40-2100-600",B33="40-2100-800",B33="50-2100-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10-2540-800",B33="20-2540-100",B33="20-2540-200",B33="20-2540-300",B33="20-2540-400",B33="20-2540-600",B33="20-2540-800",B33="50-2540-200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10-3000-100",B33="10-3000-200",B33="10-3000-300",B33="10-3000-400",B33="10-3000-600",B33="10-3000-800",B33="20-3000-100",B33="20-3000-200",B33="20-3000-300",B33="20-3000-400",B33="20-3000-600",B33="20-3000-800",B33="40-3000-100",B33="40-3000-200",B33="40-3000-300",B33="40-3000-400",B33="40-3000-600",B33="40-3000-800",B33="50-3000-200"),E33,0)</f>
        <v>0</v>
      </c>
      <c r="G33" s="1791">
        <f t="shared" ref="G33:G37" si="6">IF(F33=0,0,D33-F33)</f>
        <v>0</v>
      </c>
    </row>
    <row r="34" spans="1:7" x14ac:dyDescent="0.25">
      <c r="A34" s="1653"/>
      <c r="B34" s="1665"/>
      <c r="C34" s="1654"/>
      <c r="D34" s="1841"/>
      <c r="E34" s="1540">
        <f t="shared" si="4"/>
        <v>0</v>
      </c>
      <c r="F34" s="1929">
        <f t="shared" si="5"/>
        <v>0</v>
      </c>
      <c r="G34" s="1791">
        <f t="shared" si="6"/>
        <v>0</v>
      </c>
    </row>
    <row r="35" spans="1:7" x14ac:dyDescent="0.25">
      <c r="A35" s="1653"/>
      <c r="B35" s="1665"/>
      <c r="C35" s="1654"/>
      <c r="D35" s="1841"/>
      <c r="E35" s="1540">
        <f t="shared" si="4"/>
        <v>0</v>
      </c>
      <c r="F35" s="1929">
        <f t="shared" si="5"/>
        <v>0</v>
      </c>
      <c r="G35" s="1791">
        <f t="shared" si="6"/>
        <v>0</v>
      </c>
    </row>
    <row r="36" spans="1:7" x14ac:dyDescent="0.25">
      <c r="A36" s="1653"/>
      <c r="B36" s="1665"/>
      <c r="C36" s="1654"/>
      <c r="D36" s="1841"/>
      <c r="E36" s="1540">
        <f t="shared" si="4"/>
        <v>0</v>
      </c>
      <c r="F36" s="1929">
        <f t="shared" si="5"/>
        <v>0</v>
      </c>
      <c r="G36" s="1791">
        <f t="shared" si="6"/>
        <v>0</v>
      </c>
    </row>
    <row r="37" spans="1:7" x14ac:dyDescent="0.25">
      <c r="A37" s="1653"/>
      <c r="B37" s="1665"/>
      <c r="C37" s="1654"/>
      <c r="D37" s="1841"/>
      <c r="E37" s="1540">
        <f t="shared" si="4"/>
        <v>0</v>
      </c>
      <c r="F37" s="1929">
        <f t="shared" si="5"/>
        <v>0</v>
      </c>
      <c r="G37" s="1791">
        <f t="shared" si="6"/>
        <v>0</v>
      </c>
    </row>
    <row r="38" spans="1:7" x14ac:dyDescent="0.25">
      <c r="A38" s="1653"/>
      <c r="B38" s="1664"/>
      <c r="C38" s="1654"/>
      <c r="D38" s="1841"/>
      <c r="E38" s="1540">
        <f t="shared" si="2"/>
        <v>0</v>
      </c>
      <c r="F38" s="1929">
        <f t="shared" si="5"/>
        <v>0</v>
      </c>
      <c r="G38" s="1791">
        <f t="shared" si="3"/>
        <v>0</v>
      </c>
    </row>
    <row r="39" spans="1:7" x14ac:dyDescent="0.25">
      <c r="A39" s="1794" t="s">
        <v>156</v>
      </c>
      <c r="B39" s="1795"/>
      <c r="C39" s="1796"/>
      <c r="D39" s="1792">
        <f>SUM(D17:D38)</f>
        <v>58502</v>
      </c>
      <c r="E39" s="1541">
        <f t="shared" si="0"/>
        <v>25000</v>
      </c>
      <c r="F39" s="1930">
        <f>SUM(F17:F38)</f>
        <v>41457</v>
      </c>
      <c r="G39" s="1793">
        <f>SUM(G17:G38)</f>
        <v>4445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7" t="s">
        <v>1679</v>
      </c>
      <c r="B5" s="2278"/>
      <c r="C5" s="2278"/>
      <c r="D5" s="2278"/>
      <c r="E5" s="2278"/>
      <c r="F5" s="2278"/>
      <c r="G5" s="227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2" t="s">
        <v>1976</v>
      </c>
      <c r="B11" s="2283"/>
      <c r="C11" s="2283"/>
      <c r="D11" s="2284"/>
      <c r="E11" s="977">
        <v>16920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3706216</v>
      </c>
      <c r="F19" s="1797"/>
      <c r="G19" s="1799">
        <f>'Expenditures 15-22'!K33-SUM('Expenditures 15-22'!G33,'Expenditures 15-22'!I33)+'Expenditures 15-22'!D229</f>
        <v>3706216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260202</v>
      </c>
      <c r="F21" s="1800"/>
      <c r="G21" s="1803">
        <f>'Expenditures 15-22'!K42-SUM('Expenditures 15-22'!G42,'Expenditures 15-22'!I42)+'Expenditures 15-22'!K120-SUM('Expenditures 15-22'!G120,'Expenditures 15-22'!I120)+'Expenditures 15-22'!K180-SUM('Expenditures 15-22'!G180,'Expenditures 15-22'!I180)+'Expenditures 15-22'!D238</f>
        <v>260202</v>
      </c>
      <c r="H21" s="987"/>
      <c r="I21" s="162"/>
    </row>
    <row r="22" spans="1:9" s="668" customFormat="1" ht="12" customHeight="1" x14ac:dyDescent="0.2">
      <c r="A22" s="994" t="s">
        <v>564</v>
      </c>
      <c r="B22" s="995"/>
      <c r="C22" s="993">
        <v>2200</v>
      </c>
      <c r="D22" s="1800"/>
      <c r="E22" s="1802">
        <f>'Expenditures 15-22'!K47-SUM('Expenditures 15-22'!G47,'Expenditures 15-22'!I47)+'Expenditures 15-22'!D243</f>
        <v>313889</v>
      </c>
      <c r="F22" s="1800"/>
      <c r="G22" s="1803">
        <f>'Expenditures 15-22'!K47-SUM('Expenditures 15-22'!G47,'Expenditures 15-22'!I47)+'Expenditures 15-22'!D243</f>
        <v>313889</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482138</v>
      </c>
      <c r="F23" s="1800"/>
      <c r="G23" s="1802">
        <f>'Expenditures 15-22'!K53-SUM('Expenditures 15-22'!G53,'Expenditures 15-22'!I53)+'Expenditures 15-22'!D257+'Expenditures 15-22'!K330-SUM('Expenditures 15-22'!G330,'Expenditures 15-22'!I330)</f>
        <v>482138</v>
      </c>
      <c r="H23" s="987"/>
      <c r="I23" s="162"/>
    </row>
    <row r="24" spans="1:9" s="668" customFormat="1" ht="12" customHeight="1" x14ac:dyDescent="0.2">
      <c r="A24" s="994" t="s">
        <v>566</v>
      </c>
      <c r="B24" s="995"/>
      <c r="C24" s="993">
        <v>2400</v>
      </c>
      <c r="D24" s="1800"/>
      <c r="E24" s="1802">
        <f>'Expenditures 15-22'!K57-SUM('Expenditures 15-22'!G57,'Expenditures 15-22'!I57)+'Expenditures 15-22'!D261</f>
        <v>327289</v>
      </c>
      <c r="F24" s="1800"/>
      <c r="G24" s="1803">
        <f>'Expenditures 15-22'!K57-SUM('Expenditures 15-22'!G57,'Expenditures 15-22'!I57)+'Expenditures 15-22'!D261</f>
        <v>327289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111952</v>
      </c>
      <c r="E27" s="1802">
        <f>E8</f>
        <v>0</v>
      </c>
      <c r="F27" s="1802">
        <f>'Expenditures 15-22'!K60-SUM('Expenditures 15-22'!G60,'Expenditures 15-22'!I60)+'Expenditures 15-22'!D264-E8</f>
        <v>111952</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502481</v>
      </c>
      <c r="F28" s="1804">
        <f>'Expenditures 15-22'!K61-SUM('Expenditures 15-22'!G61,'Expenditures 15-22'!I61)+'Expenditures 15-22'!K124-SUM('Expenditures 15-22'!G124,'Expenditures 15-22'!I124)+'Expenditures 15-22'!D266-E9</f>
        <v>502481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456393</v>
      </c>
      <c r="F29" s="1800"/>
      <c r="G29" s="1803">
        <f>'Expenditures 15-22'!K62-SUM('Expenditures 15-22'!G62,'Expenditures 15-22'!I62)+'Expenditures 15-22'!K125-SUM('Expenditures 15-22'!G125,'Expenditures 15-22'!I125)+'Expenditures 15-22'!K182-SUM('Expenditures 15-22'!G182,'Expenditures 15-22'!I182)+'Expenditures 15-22'!D267</f>
        <v>456393</v>
      </c>
      <c r="H29" s="985"/>
    </row>
    <row r="30" spans="1:9" ht="12" customHeight="1" x14ac:dyDescent="0.2">
      <c r="A30" s="994" t="s">
        <v>100</v>
      </c>
      <c r="B30" s="997"/>
      <c r="C30" s="993">
        <v>2560</v>
      </c>
      <c r="D30" s="1800"/>
      <c r="E30" s="1802">
        <f>'Expenditures 15-22'!K63-SUM('Expenditures 15-22'!G63,'Expenditures 15-22'!I63)+'Expenditures 15-22'!D268-E10</f>
        <v>299867</v>
      </c>
      <c r="F30" s="1800"/>
      <c r="G30" s="1802">
        <f>'Expenditures 15-22'!K63-SUM('Expenditures 15-22'!G63,'Expenditures 15-22'!I63)+'Expenditures 15-22'!D268-E10</f>
        <v>299867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1689</v>
      </c>
      <c r="F39" s="1800"/>
      <c r="G39" s="1802">
        <f>'Expenditures 15-22'!K75-SUM('Expenditures 15-22'!G75,'Expenditures 15-22'!I75)+'Expenditures 15-22'!K130-SUM('Expenditures 15-22'!G130,'Expenditures 15-22'!I130)+'Expenditures 15-22'!K185-SUM('Expenditures 15-22'!G185,'Expenditures 15-22'!I185)+'Expenditures 15-22'!D280</f>
        <v>1689</v>
      </c>
    </row>
    <row r="40" spans="1:7" ht="12" customHeight="1" x14ac:dyDescent="0.2">
      <c r="A40" s="990" t="s">
        <v>1823</v>
      </c>
      <c r="B40" s="991"/>
      <c r="C40" s="993"/>
      <c r="D40" s="1800"/>
      <c r="E40" s="1804">
        <f>-'Contracts Paid in CY 29'!G39</f>
        <v>-4445</v>
      </c>
      <c r="F40" s="1800"/>
      <c r="G40" s="1804">
        <f>-'Contracts Paid in CY 29'!G39</f>
        <v>-4445</v>
      </c>
    </row>
    <row r="41" spans="1:7" ht="12" customHeight="1" x14ac:dyDescent="0.2">
      <c r="A41" s="998" t="s">
        <v>156</v>
      </c>
      <c r="B41" s="999"/>
      <c r="C41" s="1000"/>
      <c r="D41" s="1804">
        <f>SUM(D19:D39)</f>
        <v>111952</v>
      </c>
      <c r="E41" s="1804">
        <f>SUM(E19:E40)</f>
        <v>6345719</v>
      </c>
      <c r="F41" s="1804">
        <f>SUM(F19:F39)</f>
        <v>614433</v>
      </c>
      <c r="G41" s="1804">
        <f>SUM(G19:G40)</f>
        <v>5843238</v>
      </c>
    </row>
    <row r="42" spans="1:7" x14ac:dyDescent="0.2">
      <c r="A42" s="987"/>
      <c r="B42" s="162"/>
      <c r="C42" s="1001"/>
      <c r="D42" s="2280" t="s">
        <v>522</v>
      </c>
      <c r="E42" s="2281"/>
      <c r="F42" s="1002" t="s">
        <v>523</v>
      </c>
      <c r="G42" s="1003"/>
    </row>
    <row r="43" spans="1:7" ht="12" customHeight="1" x14ac:dyDescent="0.2">
      <c r="A43" s="987"/>
      <c r="B43" s="162"/>
      <c r="C43" s="1001"/>
      <c r="D43" s="1805" t="s">
        <v>473</v>
      </c>
      <c r="E43" s="1806">
        <f>D41</f>
        <v>111952</v>
      </c>
      <c r="F43" s="1805" t="s">
        <v>473</v>
      </c>
      <c r="G43" s="1806">
        <f>F41</f>
        <v>614433</v>
      </c>
    </row>
    <row r="44" spans="1:7" ht="12" customHeight="1" x14ac:dyDescent="0.2">
      <c r="A44" s="987"/>
      <c r="B44" s="162"/>
      <c r="C44" s="1001"/>
      <c r="D44" s="1805" t="s">
        <v>474</v>
      </c>
      <c r="E44" s="1806">
        <f>E41</f>
        <v>6345719</v>
      </c>
      <c r="F44" s="1805" t="s">
        <v>474</v>
      </c>
      <c r="G44" s="1806">
        <f>G41</f>
        <v>5843238</v>
      </c>
    </row>
    <row r="45" spans="1:7" ht="12" customHeight="1" x14ac:dyDescent="0.2">
      <c r="A45" s="987"/>
      <c r="B45" s="162"/>
      <c r="C45" s="162"/>
      <c r="D45" s="1807" t="s">
        <v>1006</v>
      </c>
      <c r="E45" s="1808">
        <f>(E43/E44)</f>
        <v>1.7642130072258164E-2</v>
      </c>
      <c r="F45" s="1807" t="s">
        <v>1006</v>
      </c>
      <c r="G45" s="1808">
        <f>(G43/G44)</f>
        <v>0.10515282793547003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G33" sqref="G33"/>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8" t="s">
        <v>1379</v>
      </c>
      <c r="B1" s="2288"/>
      <c r="C1" s="2288"/>
      <c r="D1" s="2288"/>
      <c r="E1" s="2288"/>
      <c r="F1" s="2288"/>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289" t="s">
        <v>1546</v>
      </c>
      <c r="B5" s="2290"/>
      <c r="C5" s="2291"/>
      <c r="D5" s="2291"/>
      <c r="E5" s="2291"/>
      <c r="F5" s="2291"/>
    </row>
    <row r="6" spans="1:10" ht="12" customHeight="1" x14ac:dyDescent="0.25">
      <c r="A6" s="1847"/>
      <c r="B6" s="1848"/>
      <c r="C6" s="2292" t="str">
        <f>COVER!A17</f>
        <v>Henry-Senachwine CUSD 5</v>
      </c>
      <c r="D6" s="2292"/>
      <c r="E6" s="2292"/>
      <c r="F6" s="1849"/>
    </row>
    <row r="7" spans="1:10" ht="11.25" customHeight="1" thickBot="1" x14ac:dyDescent="0.3">
      <c r="A7" s="1847"/>
      <c r="B7" s="1848"/>
      <c r="C7" s="2293">
        <f>COVER!A13</f>
        <v>35059005026</v>
      </c>
      <c r="D7" s="2293"/>
      <c r="E7" s="2293"/>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2063</v>
      </c>
      <c r="D13" s="1862" t="s">
        <v>2063</v>
      </c>
      <c r="E13" s="1865"/>
      <c r="F13" s="1864" t="s">
        <v>2096</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2063</v>
      </c>
      <c r="D26" s="1862" t="s">
        <v>2063</v>
      </c>
      <c r="E26" s="1865"/>
      <c r="F26" s="1864" t="s">
        <v>2094</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2063</v>
      </c>
      <c r="D32" s="1862" t="s">
        <v>2063</v>
      </c>
      <c r="E32" s="1865"/>
      <c r="F32" s="1864" t="s">
        <v>2095</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1392</v>
      </c>
      <c r="B35" s="1869"/>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870"/>
      <c r="B39" s="1870"/>
      <c r="C39" s="1870"/>
      <c r="D39" s="1870"/>
      <c r="E39" s="1870"/>
      <c r="F39" s="1870"/>
    </row>
    <row r="40" spans="1:11" s="1867" customFormat="1" ht="12" customHeight="1" x14ac:dyDescent="0.25">
      <c r="A40" s="1871" t="s">
        <v>1391</v>
      </c>
      <c r="B40" s="1872"/>
      <c r="C40" s="2302"/>
      <c r="D40" s="2302"/>
      <c r="E40" s="2302"/>
      <c r="F40" s="2303"/>
      <c r="H40" s="1876"/>
      <c r="I40" s="1876"/>
      <c r="J40" s="1876"/>
      <c r="K40" s="1876"/>
    </row>
    <row r="41" spans="1:11" s="1867" customFormat="1" ht="12" customHeight="1" x14ac:dyDescent="0.25">
      <c r="A41" s="2304"/>
      <c r="B41" s="2305"/>
      <c r="C41" s="2305"/>
      <c r="D41" s="2305"/>
      <c r="E41" s="2305"/>
      <c r="F41" s="2306"/>
      <c r="H41" s="1876"/>
      <c r="I41" s="1876"/>
      <c r="J41" s="1876"/>
      <c r="K41" s="1876"/>
    </row>
    <row r="42" spans="1:11" s="1867" customFormat="1" ht="12" customHeight="1" x14ac:dyDescent="0.25">
      <c r="A42" s="2304"/>
      <c r="B42" s="2305"/>
      <c r="C42" s="2305"/>
      <c r="D42" s="2305"/>
      <c r="E42" s="2305"/>
      <c r="F42" s="2306"/>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26" sqref="J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2" t="str">
        <f>COVER!A17</f>
        <v>Henry-Senachwine CUSD 5</v>
      </c>
      <c r="J6" s="2313"/>
      <c r="Q6" s="1662"/>
    </row>
    <row r="7" spans="1:17" x14ac:dyDescent="0.2">
      <c r="A7" s="2314" t="s">
        <v>869</v>
      </c>
      <c r="B7" s="2315"/>
      <c r="C7" s="2315"/>
      <c r="D7" s="2315"/>
      <c r="E7" s="2316"/>
      <c r="F7" s="1017"/>
      <c r="G7" s="1009"/>
      <c r="H7" s="1016" t="s">
        <v>372</v>
      </c>
      <c r="I7" s="2317">
        <f>COVER!A13</f>
        <v>35059005026</v>
      </c>
      <c r="J7" s="231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8" t="s">
        <v>481</v>
      </c>
      <c r="B11" s="2319"/>
      <c r="C11" s="232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138652</v>
      </c>
      <c r="F12" s="1039"/>
      <c r="G12" s="1809">
        <f t="shared" ref="G12:G18" si="0">SUM(E12:F12)</f>
        <v>138652</v>
      </c>
      <c r="H12" s="1040">
        <v>145370</v>
      </c>
      <c r="I12" s="1039"/>
      <c r="J12" s="1809">
        <f t="shared" ref="J12:J18" si="1">SUM(H12:I12)</f>
        <v>145370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1" t="s">
        <v>7</v>
      </c>
      <c r="C18" s="2322"/>
      <c r="D18" s="2323"/>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138652</v>
      </c>
      <c r="F19" s="1811">
        <f t="shared" si="2"/>
        <v>0</v>
      </c>
      <c r="G19" s="1811">
        <f t="shared" si="2"/>
        <v>138652</v>
      </c>
      <c r="H19" s="1811">
        <f t="shared" si="2"/>
        <v>145370</v>
      </c>
      <c r="I19" s="1811">
        <f t="shared" si="2"/>
        <v>0</v>
      </c>
      <c r="J19" s="1811">
        <f t="shared" si="2"/>
        <v>145370</v>
      </c>
    </row>
    <row r="20" spans="1:10" ht="13.5" thickTop="1" x14ac:dyDescent="0.2">
      <c r="A20" s="1035">
        <v>9</v>
      </c>
      <c r="B20" s="2324" t="s">
        <v>1980</v>
      </c>
      <c r="C20" s="2324"/>
      <c r="D20" s="2325"/>
      <c r="E20" s="1046"/>
      <c r="F20" s="1046"/>
      <c r="G20" s="1046"/>
      <c r="H20" s="1046"/>
      <c r="I20" s="1046"/>
      <c r="J20" s="1812">
        <f>IF(AND(G19&gt;0,J19&gt;0),(((J19-G19)/G19)),"Enter Budget Data")</f>
        <v>4.8452240140784121E-2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0"/>
      <c r="D26" s="2330"/>
      <c r="E26" s="1050"/>
      <c r="F26" s="2329"/>
      <c r="G26" s="2329"/>
    </row>
    <row r="27" spans="1:10" x14ac:dyDescent="0.2">
      <c r="B27" s="1047"/>
      <c r="C27" s="1051" t="s">
        <v>1033</v>
      </c>
      <c r="D27" s="1052"/>
      <c r="E27" s="1053"/>
      <c r="F27" s="2326" t="s">
        <v>1509</v>
      </c>
      <c r="G27" s="2326"/>
    </row>
    <row r="28" spans="1:10" ht="28.5" customHeight="1" x14ac:dyDescent="0.2">
      <c r="B28" s="1047"/>
      <c r="C28" s="2328"/>
      <c r="D28" s="2328"/>
      <c r="E28" s="1054"/>
      <c r="F28" s="2328"/>
      <c r="G28" s="2328"/>
    </row>
    <row r="29" spans="1:10" x14ac:dyDescent="0.2">
      <c r="B29" s="1047"/>
      <c r="C29" s="1055" t="s">
        <v>1561</v>
      </c>
      <c r="E29" s="1056"/>
      <c r="F29" s="2327" t="s">
        <v>1510</v>
      </c>
      <c r="G29" s="232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62"/>
    </row>
    <row r="36" spans="1:10" ht="13.5" customHeight="1" x14ac:dyDescent="0.2">
      <c r="B36" s="1061"/>
      <c r="C36" s="2311" t="s">
        <v>1982</v>
      </c>
      <c r="D36" s="2310"/>
      <c r="E36" s="2310"/>
      <c r="F36" s="2310"/>
      <c r="G36" s="2310"/>
      <c r="H36" s="2310"/>
      <c r="I36" s="2310"/>
      <c r="J36" s="1063"/>
    </row>
    <row r="37" spans="1:10" ht="22.5" customHeight="1" x14ac:dyDescent="0.2">
      <c r="C37" s="2310"/>
      <c r="D37" s="2310"/>
      <c r="E37" s="2310"/>
      <c r="F37" s="2310"/>
      <c r="G37" s="2310"/>
      <c r="H37" s="2310"/>
      <c r="I37" s="2310"/>
      <c r="J37" s="1063"/>
    </row>
    <row r="38" spans="1:10" ht="7.5" customHeight="1" x14ac:dyDescent="0.2">
      <c r="C38" s="1062"/>
      <c r="D38" s="1064"/>
      <c r="E38" s="1065"/>
      <c r="F38" s="1066"/>
      <c r="G38" s="1065"/>
    </row>
    <row r="39" spans="1:10" ht="13.5" customHeight="1" x14ac:dyDescent="0.2">
      <c r="B39" s="1061"/>
      <c r="C39" s="2307" t="s">
        <v>882</v>
      </c>
      <c r="D39" s="2308"/>
      <c r="E39" s="2308"/>
      <c r="F39" s="2308"/>
      <c r="G39" s="2308"/>
      <c r="H39" s="2308"/>
      <c r="I39" s="230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0" sqref="A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2097</v>
      </c>
    </row>
    <row r="6" spans="1:2" x14ac:dyDescent="0.2">
      <c r="A6" s="1068">
        <v>2</v>
      </c>
      <c r="B6" s="329" t="s">
        <v>2098</v>
      </c>
    </row>
    <row r="7" spans="1:2" x14ac:dyDescent="0.2">
      <c r="A7" s="1068">
        <v>3</v>
      </c>
      <c r="B7" s="329" t="s">
        <v>2099</v>
      </c>
    </row>
    <row r="8" spans="1:2" x14ac:dyDescent="0.2">
      <c r="A8" s="1068">
        <v>4</v>
      </c>
      <c r="B8" s="329" t="s">
        <v>2100</v>
      </c>
    </row>
    <row r="9" spans="1:2" x14ac:dyDescent="0.2">
      <c r="A9" s="1069">
        <v>5</v>
      </c>
      <c r="B9" s="329" t="s">
        <v>2103</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Henry-Senachwine CUSD 5</v>
      </c>
    </row>
    <row r="65" spans="2:2" x14ac:dyDescent="0.2">
      <c r="B65" s="1070">
        <f>COVER!A13</f>
        <v>35059005026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B22" sqref="B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1" t="s">
        <v>1685</v>
      </c>
      <c r="B18" s="23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1690</v>
      </c>
      <c r="B1" s="2333"/>
      <c r="C1" s="2333"/>
      <c r="D1" s="2333"/>
      <c r="E1" s="2333"/>
      <c r="F1" s="2334"/>
    </row>
    <row r="2" spans="1:8" ht="45" customHeight="1" x14ac:dyDescent="0.2">
      <c r="A2" s="2342" t="s">
        <v>1986</v>
      </c>
      <c r="B2" s="2343"/>
      <c r="C2" s="2343"/>
      <c r="D2" s="2343"/>
      <c r="E2" s="2343"/>
      <c r="F2" s="2344"/>
      <c r="G2" s="1074"/>
      <c r="H2" s="1074"/>
    </row>
    <row r="3" spans="1:8" ht="57" customHeight="1" x14ac:dyDescent="0.2">
      <c r="A3" s="2345" t="s">
        <v>1686</v>
      </c>
      <c r="B3" s="2346"/>
      <c r="C3" s="2346"/>
      <c r="D3" s="2346"/>
      <c r="E3" s="2346"/>
      <c r="F3" s="2347"/>
      <c r="G3" s="1074"/>
      <c r="H3" s="1074"/>
    </row>
    <row r="4" spans="1:8" ht="14.25" customHeight="1" x14ac:dyDescent="0.2">
      <c r="A4" s="2351" t="s">
        <v>1987</v>
      </c>
      <c r="B4" s="2352"/>
      <c r="C4" s="2352"/>
      <c r="D4" s="2352"/>
      <c r="E4" s="2352"/>
      <c r="F4" s="2353"/>
      <c r="G4" s="1074"/>
      <c r="H4" s="1074"/>
    </row>
    <row r="5" spans="1:8" ht="14.25" customHeight="1" x14ac:dyDescent="0.2">
      <c r="A5" s="2354" t="s">
        <v>1983</v>
      </c>
      <c r="B5" s="2355"/>
      <c r="C5" s="2355"/>
      <c r="D5" s="2355"/>
      <c r="E5" s="2355"/>
      <c r="F5" s="2356"/>
      <c r="G5" s="1074"/>
      <c r="H5" s="1074"/>
    </row>
    <row r="6" spans="1:8" s="1075" customFormat="1" ht="41.25" customHeight="1" x14ac:dyDescent="0.2">
      <c r="A6" s="2348" t="s">
        <v>1691</v>
      </c>
      <c r="B6" s="2349"/>
      <c r="C6" s="2349"/>
      <c r="D6" s="2349"/>
      <c r="E6" s="2349"/>
      <c r="F6" s="235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5176439</v>
      </c>
      <c r="C8" s="1813">
        <f>'Acct Summary 7-8'!D8</f>
        <v>626461</v>
      </c>
      <c r="D8" s="1813">
        <f>'Acct Summary 7-8'!F8</f>
        <v>471757</v>
      </c>
      <c r="E8" s="1813">
        <f>'Acct Summary 7-8'!I8</f>
        <v>65692</v>
      </c>
      <c r="F8" s="1813">
        <f>SUM(B8:E8)</f>
        <v>6340349</v>
      </c>
    </row>
    <row r="9" spans="1:8" s="1079" customFormat="1" ht="14.25" customHeight="1" thickBot="1" x14ac:dyDescent="0.25">
      <c r="A9" s="1078" t="s">
        <v>1369</v>
      </c>
      <c r="B9" s="1814">
        <f>'Acct Summary 7-8'!C17</f>
        <v>5254580</v>
      </c>
      <c r="C9" s="1814">
        <f>'Acct Summary 7-8'!D17</f>
        <v>604291</v>
      </c>
      <c r="D9" s="1814">
        <f>'Acct Summary 7-8'!F17</f>
        <v>428831</v>
      </c>
      <c r="E9" s="1813"/>
      <c r="F9" s="1813">
        <f>SUM(B9:E9)</f>
        <v>6287702</v>
      </c>
    </row>
    <row r="10" spans="1:8" s="1079" customFormat="1" ht="14.25" thickTop="1" thickBot="1" x14ac:dyDescent="0.25">
      <c r="A10" s="1080" t="s">
        <v>1370</v>
      </c>
      <c r="B10" s="1815">
        <f>(B8-B9)</f>
        <v>-78141</v>
      </c>
      <c r="C10" s="1815">
        <f>(C8-C9)</f>
        <v>22170</v>
      </c>
      <c r="D10" s="1815">
        <f>(D8-D9)</f>
        <v>42926</v>
      </c>
      <c r="E10" s="1814">
        <f>(E8-E9)</f>
        <v>65692</v>
      </c>
      <c r="F10" s="1816">
        <f>SUM(F8-F9)</f>
        <v>52647</v>
      </c>
    </row>
    <row r="11" spans="1:8" s="1079" customFormat="1" ht="14.25" thickTop="1" thickBot="1" x14ac:dyDescent="0.25">
      <c r="A11" s="1081" t="s">
        <v>1984</v>
      </c>
      <c r="B11" s="1817">
        <f>'Acct Summary 7-8'!C81</f>
        <v>949228</v>
      </c>
      <c r="C11" s="1817">
        <f>'Acct Summary 7-8'!D81</f>
        <v>861155</v>
      </c>
      <c r="D11" s="1817">
        <f>'Acct Summary 7-8'!F81</f>
        <v>396446</v>
      </c>
      <c r="E11" s="1817">
        <f>'Acct Summary 7-8'!I81</f>
        <v>1975018</v>
      </c>
      <c r="F11" s="1818">
        <f>SUM(B11:E11)</f>
        <v>4181847</v>
      </c>
    </row>
    <row r="12" spans="1:8" ht="16.5" customHeight="1" thickTop="1" x14ac:dyDescent="0.2">
      <c r="A12" s="1082"/>
      <c r="B12" s="1083"/>
      <c r="C12" s="2336" t="str">
        <f>IF(AND(F10&lt;0,F11&gt;=0,ABS(F10*3)&gt;ABS(F11)),A16,IF(AND(F10&lt;0,F11&gt;0,ABS(F10*3)&lt;=ABS(F11)),A17,IF(AND(F10&lt;0,F11&lt;0),A16,IF(F11=0,A19,A18))))</f>
        <v>Balanced - no deficit reduction plan is required.</v>
      </c>
      <c r="D12" s="2337"/>
      <c r="E12" s="2337"/>
      <c r="F12" s="2338"/>
    </row>
    <row r="13" spans="1:8" ht="19.5" customHeight="1" x14ac:dyDescent="0.2">
      <c r="A13" s="1084"/>
      <c r="B13" s="1085"/>
      <c r="C13" s="2336"/>
      <c r="D13" s="2337"/>
      <c r="E13" s="2337"/>
      <c r="F13" s="2338"/>
      <c r="H13" s="1074"/>
    </row>
    <row r="14" spans="1:8" ht="19.5" customHeight="1" x14ac:dyDescent="0.2">
      <c r="A14" s="1084"/>
      <c r="B14" s="1085"/>
      <c r="C14" s="2336"/>
      <c r="D14" s="2337"/>
      <c r="E14" s="2337"/>
      <c r="F14" s="2338"/>
      <c r="H14" s="1074"/>
    </row>
    <row r="15" spans="1:8" ht="17.25" customHeight="1" x14ac:dyDescent="0.2">
      <c r="A15" s="1084"/>
      <c r="B15" s="1085"/>
      <c r="C15" s="2339"/>
      <c r="D15" s="2340"/>
      <c r="E15" s="2340"/>
      <c r="F15" s="2341"/>
      <c r="H15" s="1074"/>
    </row>
    <row r="16" spans="1:8" s="310" customFormat="1" ht="51.75" hidden="1" customHeight="1" x14ac:dyDescent="0.2">
      <c r="A16" s="2335" t="s">
        <v>1687</v>
      </c>
      <c r="B16" s="2335"/>
      <c r="C16" s="2335"/>
      <c r="D16" s="2335"/>
      <c r="E16" s="233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8"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57" t="s">
        <v>665</v>
      </c>
      <c r="B3" s="2358"/>
      <c r="C3" s="2358"/>
      <c r="D3" s="235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8" t="s">
        <v>1504</v>
      </c>
      <c r="D7" s="2369"/>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0" t="s">
        <v>1008</v>
      </c>
      <c r="B15" s="2361"/>
      <c r="C15" s="2361"/>
      <c r="D15" s="2362"/>
    </row>
    <row r="16" spans="1:4" s="668" customFormat="1" ht="24" customHeight="1" x14ac:dyDescent="0.2">
      <c r="A16" s="2363" t="s">
        <v>663</v>
      </c>
      <c r="B16" s="2364"/>
      <c r="C16" s="2364"/>
      <c r="D16" s="236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2" t="s">
        <v>314</v>
      </c>
      <c r="D21" s="2373"/>
    </row>
    <row r="22" spans="1:10" ht="12.75" x14ac:dyDescent="0.2">
      <c r="A22" s="1139"/>
      <c r="B22" s="1140">
        <v>2</v>
      </c>
      <c r="C22" s="2370" t="s">
        <v>1524</v>
      </c>
      <c r="D22" s="237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4" t="s">
        <v>536</v>
      </c>
      <c r="D43" s="237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6" t="s">
        <v>784</v>
      </c>
      <c r="D56" s="236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66" t="s">
        <v>1696</v>
      </c>
      <c r="D70" s="236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35059005026</v>
      </c>
    </row>
    <row r="3" spans="1:2" x14ac:dyDescent="0.2">
      <c r="A3" t="s">
        <v>956</v>
      </c>
      <c r="B3" s="138" t="str">
        <f>COVER!A15</f>
        <v>Marshall</v>
      </c>
    </row>
    <row r="4" spans="1:2" x14ac:dyDescent="0.2">
      <c r="A4" t="s">
        <v>1007</v>
      </c>
      <c r="B4" s="138" t="str">
        <f>COVER!A17</f>
        <v>Henry-Senachwine CUSD 5</v>
      </c>
    </row>
    <row r="5" spans="1:2" x14ac:dyDescent="0.2">
      <c r="A5" t="s">
        <v>704</v>
      </c>
      <c r="B5" s="138" t="str">
        <f>COVER!A38</f>
        <v>Michael S. Miller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Hopkins &amp; Associates, CPAs</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kim@hopkinsoffice.com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949228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949228</v>
      </c>
      <c r="D92" s="2" t="str">
        <f t="shared" si="0"/>
        <v>Error?</v>
      </c>
    </row>
    <row r="93" spans="1:4" x14ac:dyDescent="0.2">
      <c r="A93" s="5">
        <v>32</v>
      </c>
      <c r="B93" s="138">
        <f>'Assets-Liab 5-6'!C41</f>
        <v>949228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861155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861155</v>
      </c>
      <c r="D123" s="2" t="str">
        <f t="shared" si="0"/>
        <v>Error?</v>
      </c>
    </row>
    <row r="124" spans="1:4" x14ac:dyDescent="0.2">
      <c r="A124" s="5">
        <v>63</v>
      </c>
      <c r="B124" s="138">
        <f>'Assets-Liab 5-6'!D41</f>
        <v>861155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314</v>
      </c>
      <c r="D140" s="2" t="str">
        <f t="shared" si="1"/>
        <v>Error?</v>
      </c>
    </row>
    <row r="141" spans="1:4" x14ac:dyDescent="0.2">
      <c r="A141" s="5">
        <v>80</v>
      </c>
      <c r="B141" s="138">
        <f>'Assets-Liab 5-6'!E41</f>
        <v>314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396446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396446</v>
      </c>
      <c r="D170" s="2" t="str">
        <f t="shared" si="1"/>
        <v>Error?</v>
      </c>
    </row>
    <row r="171" spans="1:4" x14ac:dyDescent="0.2">
      <c r="A171" s="5">
        <v>110</v>
      </c>
      <c r="B171" s="138">
        <f>'Assets-Liab 5-6'!F41</f>
        <v>396446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243892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131304</v>
      </c>
      <c r="D189" s="2" t="str">
        <f t="shared" si="1"/>
        <v>Error?</v>
      </c>
    </row>
    <row r="190" spans="1:4" x14ac:dyDescent="0.2">
      <c r="A190" s="5">
        <v>129</v>
      </c>
      <c r="B190" s="138">
        <f>'Assets-Liab 5-6'!G41</f>
        <v>243892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103400</v>
      </c>
      <c r="D273" s="2" t="str">
        <f t="shared" si="3"/>
        <v>Error?</v>
      </c>
    </row>
    <row r="274" spans="1:4" x14ac:dyDescent="0.2">
      <c r="A274" s="5">
        <v>213</v>
      </c>
      <c r="B274" s="138">
        <f>'Assets-Liab 5-6'!M17</f>
        <v>7130191</v>
      </c>
      <c r="D274" s="2" t="str">
        <f t="shared" si="3"/>
        <v>Error?</v>
      </c>
    </row>
    <row r="275" spans="1:4" x14ac:dyDescent="0.2">
      <c r="A275" s="5">
        <v>214</v>
      </c>
      <c r="B275" s="138">
        <f>'Assets-Liab 5-6'!M18</f>
        <v>589979</v>
      </c>
      <c r="D275" s="2" t="str">
        <f t="shared" si="3"/>
        <v>Error?</v>
      </c>
    </row>
    <row r="276" spans="1:4" x14ac:dyDescent="0.2">
      <c r="A276" s="5">
        <v>215</v>
      </c>
      <c r="B276" s="138">
        <f>'Assets-Liab 5-6'!M19</f>
        <v>3177575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11001145</v>
      </c>
      <c r="C279" s="2" t="s">
        <v>573</v>
      </c>
      <c r="D279" s="2" t="str">
        <f t="shared" si="3"/>
        <v>Error?</v>
      </c>
    </row>
    <row r="280" spans="1:4" x14ac:dyDescent="0.2">
      <c r="A280" s="5">
        <v>219</v>
      </c>
      <c r="B280" s="138">
        <f>'Assets-Liab 5-6'!M40</f>
        <v>11001145</v>
      </c>
      <c r="D280" s="2" t="str">
        <f t="shared" si="3"/>
        <v>Error?</v>
      </c>
    </row>
    <row r="281" spans="1:4" x14ac:dyDescent="0.2">
      <c r="A281" s="5">
        <v>220</v>
      </c>
      <c r="B281" s="138">
        <f>'Assets-Liab 5-6'!M41</f>
        <v>11001145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101253</v>
      </c>
      <c r="D283" s="2" t="str">
        <f t="shared" si="3"/>
        <v>Error?</v>
      </c>
    </row>
    <row r="284" spans="1:4" x14ac:dyDescent="0.2">
      <c r="A284" s="5">
        <v>223</v>
      </c>
      <c r="B284" s="138">
        <f>'Assets-Liab 5-6'!N23</f>
        <v>101253</v>
      </c>
      <c r="C284" s="2" t="s">
        <v>573</v>
      </c>
      <c r="D284" s="2" t="str">
        <f t="shared" si="3"/>
        <v>Error?</v>
      </c>
    </row>
    <row r="285" spans="1:4" x14ac:dyDescent="0.2">
      <c r="A285" s="5">
        <v>224</v>
      </c>
      <c r="B285" s="138">
        <f>'Assets-Liab 5-6'!N36</f>
        <v>101253</v>
      </c>
      <c r="D285" s="2" t="str">
        <f t="shared" si="3"/>
        <v>Error?</v>
      </c>
    </row>
    <row r="286" spans="1:4" x14ac:dyDescent="0.2">
      <c r="A286" s="10">
        <v>225</v>
      </c>
      <c r="D286" s="2" t="str">
        <f t="shared" si="3"/>
        <v>OK</v>
      </c>
    </row>
    <row r="287" spans="1:4" x14ac:dyDescent="0.2">
      <c r="A287" s="5">
        <v>226</v>
      </c>
      <c r="B287" s="138">
        <f>'Assets-Liab 5-6'!N37</f>
        <v>101253</v>
      </c>
      <c r="C287" s="2" t="s">
        <v>573</v>
      </c>
      <c r="D287" s="2" t="str">
        <f t="shared" si="3"/>
        <v>Error?</v>
      </c>
    </row>
    <row r="288" spans="1:4" x14ac:dyDescent="0.2">
      <c r="A288" s="5">
        <v>227</v>
      </c>
      <c r="B288" s="138">
        <f>'Assets-Liab 5-6'!N41</f>
        <v>101253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2172948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3741</v>
      </c>
      <c r="D717" s="2" t="str">
        <f t="shared" si="10"/>
        <v>Error?</v>
      </c>
    </row>
    <row r="718" spans="1:4" x14ac:dyDescent="0.2">
      <c r="A718" s="5">
        <v>657</v>
      </c>
      <c r="B718" s="138">
        <f>'Expenditures 15-22'!C14</f>
        <v>120483</v>
      </c>
      <c r="D718" s="2" t="str">
        <f t="shared" si="10"/>
        <v>Error?</v>
      </c>
    </row>
    <row r="719" spans="1:4" x14ac:dyDescent="0.2">
      <c r="A719" s="5">
        <v>658</v>
      </c>
      <c r="B719" s="138">
        <f>'Expenditures 15-22'!C15</f>
        <v>1050</v>
      </c>
      <c r="D719" s="2" t="str">
        <f t="shared" si="10"/>
        <v>Error?</v>
      </c>
    </row>
    <row r="720" spans="1:4" x14ac:dyDescent="0.2">
      <c r="A720" s="5">
        <v>659</v>
      </c>
      <c r="B720" s="138">
        <f>'Expenditures 15-22'!C33</f>
        <v>3007687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109301</v>
      </c>
      <c r="D722" s="2" t="str">
        <f t="shared" si="10"/>
        <v>Error?</v>
      </c>
    </row>
    <row r="723" spans="1:4" x14ac:dyDescent="0.2">
      <c r="A723" s="5">
        <v>662</v>
      </c>
      <c r="B723" s="138">
        <f>'Expenditures 15-22'!C38</f>
        <v>35494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84961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229756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86034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86034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105718</v>
      </c>
      <c r="D733" s="2" t="str">
        <f t="shared" si="10"/>
        <v>Error?</v>
      </c>
    </row>
    <row r="734" spans="1:4" x14ac:dyDescent="0.2">
      <c r="A734" s="5">
        <v>673</v>
      </c>
      <c r="B734" s="138">
        <f>'Expenditures 15-22'!C53</f>
        <v>105718</v>
      </c>
      <c r="C734" s="2" t="s">
        <v>573</v>
      </c>
      <c r="D734" s="2" t="str">
        <f t="shared" si="10"/>
        <v>Error?</v>
      </c>
    </row>
    <row r="735" spans="1:4" x14ac:dyDescent="0.2">
      <c r="A735" s="5">
        <v>674</v>
      </c>
      <c r="B735" s="138">
        <f>'Expenditures 15-22'!C55</f>
        <v>266976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266976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84682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119772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204454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892938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3900625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162784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v>
      </c>
      <c r="D775" s="2" t="str">
        <f t="shared" si="11"/>
        <v>Error?</v>
      </c>
    </row>
    <row r="776" spans="1:4" x14ac:dyDescent="0.2">
      <c r="A776" s="5">
        <v>715</v>
      </c>
      <c r="B776" s="138">
        <f>'Expenditures 15-22'!D14</f>
        <v>1941</v>
      </c>
      <c r="D776" s="2" t="str">
        <f t="shared" si="11"/>
        <v>Error?</v>
      </c>
    </row>
    <row r="777" spans="1:4" x14ac:dyDescent="0.2">
      <c r="A777" s="5">
        <v>716</v>
      </c>
      <c r="B777" s="138">
        <f>'Expenditures 15-22'!D15</f>
        <v>232</v>
      </c>
      <c r="D777" s="2" t="str">
        <f t="shared" si="11"/>
        <v>Error?</v>
      </c>
    </row>
    <row r="778" spans="1:4" x14ac:dyDescent="0.2">
      <c r="A778" s="5">
        <v>717</v>
      </c>
      <c r="B778" s="138">
        <f>'Expenditures 15-22'!D33</f>
        <v>271356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2920</v>
      </c>
      <c r="D780" s="2" t="str">
        <f t="shared" si="11"/>
        <v>Error?</v>
      </c>
    </row>
    <row r="781" spans="1:4" x14ac:dyDescent="0.2">
      <c r="A781" s="5">
        <v>720</v>
      </c>
      <c r="B781" s="138">
        <f>'Expenditures 15-22'!D38</f>
        <v>27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2251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5198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12792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12792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31905</v>
      </c>
      <c r="D791" s="2" t="str">
        <f t="shared" si="11"/>
        <v>Error?</v>
      </c>
    </row>
    <row r="792" spans="1:4" x14ac:dyDescent="0.2">
      <c r="A792" s="5">
        <v>731</v>
      </c>
      <c r="B792" s="138">
        <f>'Expenditures 15-22'!D53</f>
        <v>31905</v>
      </c>
      <c r="C792" s="2" t="s">
        <v>573</v>
      </c>
      <c r="D792" s="2" t="str">
        <f t="shared" si="11"/>
        <v>Error?</v>
      </c>
    </row>
    <row r="793" spans="1:4" x14ac:dyDescent="0.2">
      <c r="A793" s="5">
        <v>732</v>
      </c>
      <c r="B793" s="138">
        <f>'Expenditures 15-22'!D55</f>
        <v>32894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32894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24449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33185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115974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387330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39677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29240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75257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8675</v>
      </c>
      <c r="D838" s="2" t="str">
        <f t="shared" si="12"/>
        <v>Error?</v>
      </c>
    </row>
    <row r="839" spans="1:4" x14ac:dyDescent="0.2">
      <c r="A839" s="5">
        <v>778</v>
      </c>
      <c r="B839" s="138">
        <f>'Expenditures 15-22'!E38</f>
        <v>6558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15233</v>
      </c>
      <c r="C843" s="2" t="s">
        <v>573</v>
      </c>
      <c r="D843" s="2" t="str">
        <f t="shared" si="12"/>
        <v>Error?</v>
      </c>
    </row>
    <row r="844" spans="1:4" x14ac:dyDescent="0.2">
      <c r="A844" s="5">
        <v>783</v>
      </c>
      <c r="B844" s="138">
        <f>'Expenditures 15-22'!E44</f>
        <v>34887</v>
      </c>
      <c r="D844" s="2" t="str">
        <f t="shared" si="12"/>
        <v>Error?</v>
      </c>
    </row>
    <row r="845" spans="1:4" x14ac:dyDescent="0.2">
      <c r="A845" s="5">
        <v>784</v>
      </c>
      <c r="B845" s="138">
        <f>'Expenditures 15-22'!E45</f>
        <v>41490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76377</v>
      </c>
      <c r="C847" s="2" t="s">
        <v>573</v>
      </c>
      <c r="D847" s="2" t="str">
        <f t="shared" si="12"/>
        <v>Error?</v>
      </c>
    </row>
    <row r="848" spans="1:4" x14ac:dyDescent="0.2">
      <c r="A848" s="5">
        <v>787</v>
      </c>
      <c r="B848" s="138">
        <f>'Expenditures 15-22'!E49</f>
        <v>21973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21973</v>
      </c>
      <c r="C850" s="2" t="s">
        <v>573</v>
      </c>
      <c r="D850" s="2" t="str">
        <f t="shared" si="12"/>
        <v>Error?</v>
      </c>
    </row>
    <row r="851" spans="1:4" x14ac:dyDescent="0.2">
      <c r="A851" s="5">
        <v>790</v>
      </c>
      <c r="B851" s="138">
        <f>'Expenditures 15-22'!E55</f>
        <v>5284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5284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4818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5713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124580</v>
      </c>
      <c r="C871" s="2" t="s">
        <v>573</v>
      </c>
      <c r="D871" s="2" t="str">
        <f t="shared" si="12"/>
        <v>Error?</v>
      </c>
    </row>
    <row r="872" spans="1:4" x14ac:dyDescent="0.2">
      <c r="A872" s="5">
        <v>811</v>
      </c>
      <c r="B872" s="138">
        <f>'Expenditures 15-22'!E75</f>
        <v>480</v>
      </c>
      <c r="D872" s="2" t="str">
        <f t="shared" si="12"/>
        <v>Error?</v>
      </c>
    </row>
    <row r="873" spans="1:4" x14ac:dyDescent="0.2">
      <c r="A873" s="5">
        <v>812</v>
      </c>
      <c r="B873" s="138">
        <f>'Expenditures 15-22'!E114</f>
        <v>269205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86372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3236</v>
      </c>
      <c r="D891" s="2" t="str">
        <f t="shared" si="12"/>
        <v>Error?</v>
      </c>
    </row>
    <row r="892" spans="1:4" x14ac:dyDescent="0.2">
      <c r="A892" s="5">
        <v>831</v>
      </c>
      <c r="B892" s="138">
        <f>'Expenditures 15-22'!F14</f>
        <v>10559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107448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396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118125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118125</v>
      </c>
      <c r="C905" s="2" t="s">
        <v>573</v>
      </c>
      <c r="D905" s="2" t="str">
        <f t="shared" si="13"/>
        <v>Error?</v>
      </c>
    </row>
    <row r="906" spans="1:4" x14ac:dyDescent="0.2">
      <c r="A906" s="5">
        <v>845</v>
      </c>
      <c r="B906" s="138">
        <f>'Expenditures 15-22'!F49</f>
        <v>9364</v>
      </c>
      <c r="D906" s="2" t="str">
        <f t="shared" si="13"/>
        <v>Error?</v>
      </c>
    </row>
    <row r="907" spans="1:4" x14ac:dyDescent="0.2">
      <c r="A907" s="5">
        <v>846</v>
      </c>
      <c r="B907" s="138">
        <f>'Expenditures 15-22'!F50</f>
        <v>21</v>
      </c>
      <c r="D907" s="2" t="str">
        <f t="shared" si="13"/>
        <v>Error?</v>
      </c>
    </row>
    <row r="908" spans="1:4" x14ac:dyDescent="0.2">
      <c r="A908" s="5">
        <v>847</v>
      </c>
      <c r="B908" s="138">
        <f>'Expenditures 15-22'!F53</f>
        <v>9385</v>
      </c>
      <c r="C908" s="2" t="s">
        <v>573</v>
      </c>
      <c r="D908" s="2" t="str">
        <f t="shared" si="13"/>
        <v>Error?</v>
      </c>
    </row>
    <row r="909" spans="1:4" x14ac:dyDescent="0.2">
      <c r="A909" s="5">
        <v>848</v>
      </c>
      <c r="B909" s="138">
        <f>'Expenditures 15-22'!F55</f>
        <v>1517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128852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130765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260188</v>
      </c>
      <c r="C929" s="2" t="s">
        <v>573</v>
      </c>
      <c r="D929" s="2" t="str">
        <f t="shared" si="13"/>
        <v>Error?</v>
      </c>
    </row>
    <row r="930" spans="1:4" x14ac:dyDescent="0.2">
      <c r="A930" s="5">
        <v>869</v>
      </c>
      <c r="B930" s="138">
        <f>'Expenditures 15-22'!F75</f>
        <v>1209</v>
      </c>
      <c r="D930" s="2" t="str">
        <f t="shared" si="13"/>
        <v>Error?</v>
      </c>
    </row>
    <row r="931" spans="1:4" x14ac:dyDescent="0.2">
      <c r="A931" s="5">
        <v>870</v>
      </c>
      <c r="B931" s="138">
        <f>'Expenditures 15-22'!F114</f>
        <v>368845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50445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14138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64583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694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65277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11539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162897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4879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4879</v>
      </c>
      <c r="C1021" s="2" t="s">
        <v>573</v>
      </c>
      <c r="D1021" s="2" t="str">
        <f t="shared" si="14"/>
        <v>Error?</v>
      </c>
    </row>
    <row r="1022" spans="1:4" x14ac:dyDescent="0.2">
      <c r="A1022" s="5">
        <v>961</v>
      </c>
      <c r="B1022" s="138">
        <f>'Expenditures 15-22'!H49</f>
        <v>8305</v>
      </c>
      <c r="D1022" s="2" t="str">
        <f t="shared" si="14"/>
        <v>Error?</v>
      </c>
    </row>
    <row r="1023" spans="1:4" x14ac:dyDescent="0.2">
      <c r="A1023" s="5">
        <v>962</v>
      </c>
      <c r="B1023" s="138">
        <f>'Expenditures 15-22'!H50</f>
        <v>1008</v>
      </c>
      <c r="D1023" s="2" t="str">
        <f t="shared" ref="D1023:D1086" si="15">IF(ISBLANK(B1023),"OK",IF(A1023-B1023=0,"OK","Error?"))</f>
        <v>Error?</v>
      </c>
    </row>
    <row r="1024" spans="1:4" x14ac:dyDescent="0.2">
      <c r="A1024" s="5">
        <v>963</v>
      </c>
      <c r="B1024" s="138">
        <f>'Expenditures 15-22'!H53</f>
        <v>9313</v>
      </c>
      <c r="C1024" s="2" t="s">
        <v>573</v>
      </c>
      <c r="D1024" s="2" t="str">
        <f t="shared" si="15"/>
        <v>Error?</v>
      </c>
    </row>
    <row r="1025" spans="1:4" x14ac:dyDescent="0.2">
      <c r="A1025" s="5">
        <v>964</v>
      </c>
      <c r="B1025" s="138">
        <f>'Expenditures 15-22'!H55</f>
        <v>1026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1026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15278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85123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263298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2512226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6981</v>
      </c>
      <c r="C1105" s="2" t="s">
        <v>573</v>
      </c>
      <c r="D1105" s="2" t="str">
        <f t="shared" si="16"/>
        <v>Error?</v>
      </c>
    </row>
    <row r="1106" spans="1:4" x14ac:dyDescent="0.2">
      <c r="A1106" s="5">
        <v>1045</v>
      </c>
      <c r="B1106" s="138">
        <f>'Expenditures 15-22'!K14</f>
        <v>187900</v>
      </c>
      <c r="C1106" s="2" t="s">
        <v>573</v>
      </c>
      <c r="D1106" s="2" t="str">
        <f t="shared" si="16"/>
        <v>Error?</v>
      </c>
    </row>
    <row r="1107" spans="1:4" x14ac:dyDescent="0.2">
      <c r="A1107" s="5">
        <v>1046</v>
      </c>
      <c r="B1107" s="138">
        <f>'Expenditures 15-22'!K15</f>
        <v>1282</v>
      </c>
      <c r="C1107" s="2" t="s">
        <v>573</v>
      </c>
      <c r="D1107" s="2" t="str">
        <f t="shared" si="16"/>
        <v>Error?</v>
      </c>
    </row>
    <row r="1108" spans="1:4" x14ac:dyDescent="0.2">
      <c r="A1108" s="5">
        <v>1047</v>
      </c>
      <c r="B1108" s="138">
        <f>'Expenditures 15-22'!K33</f>
        <v>3689228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121292</v>
      </c>
      <c r="C1110" s="2" t="s">
        <v>573</v>
      </c>
      <c r="D1110" s="2" t="str">
        <f t="shared" si="16"/>
        <v>Error?</v>
      </c>
    </row>
    <row r="1111" spans="1:4" x14ac:dyDescent="0.2">
      <c r="A1111" s="5">
        <v>1050</v>
      </c>
      <c r="B1111" s="138">
        <f>'Expenditures 15-22'!K38</f>
        <v>42079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87212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250583</v>
      </c>
      <c r="C1115" s="2" t="s">
        <v>573</v>
      </c>
      <c r="D1115" s="2" t="str">
        <f t="shared" si="16"/>
        <v>Error?</v>
      </c>
    </row>
    <row r="1116" spans="1:4" x14ac:dyDescent="0.2">
      <c r="A1116" s="5">
        <v>1055</v>
      </c>
      <c r="B1116" s="138">
        <f>'Expenditures 15-22'!K44</f>
        <v>34887</v>
      </c>
      <c r="C1116" s="2" t="s">
        <v>573</v>
      </c>
      <c r="D1116" s="2" t="str">
        <f t="shared" si="16"/>
        <v>Error?</v>
      </c>
    </row>
    <row r="1117" spans="1:4" x14ac:dyDescent="0.2">
      <c r="A1117" s="5">
        <v>1056</v>
      </c>
      <c r="B1117" s="138">
        <f>'Expenditures 15-22'!K45</f>
        <v>263320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298207</v>
      </c>
      <c r="C1119" s="2" t="s">
        <v>573</v>
      </c>
      <c r="D1119" s="2" t="str">
        <f t="shared" si="16"/>
        <v>Error?</v>
      </c>
    </row>
    <row r="1120" spans="1:4" x14ac:dyDescent="0.2">
      <c r="A1120" s="5">
        <v>1059</v>
      </c>
      <c r="B1120" s="138">
        <f>'Expenditures 15-22'!K49</f>
        <v>39642</v>
      </c>
      <c r="C1120" s="2" t="s">
        <v>573</v>
      </c>
      <c r="D1120" s="2" t="str">
        <f t="shared" si="16"/>
        <v>Error?</v>
      </c>
    </row>
    <row r="1121" spans="1:4" x14ac:dyDescent="0.2">
      <c r="A1121" s="5">
        <v>1060</v>
      </c>
      <c r="B1121" s="138">
        <f>'Expenditures 15-22'!K50</f>
        <v>138652</v>
      </c>
      <c r="C1121" s="2" t="s">
        <v>573</v>
      </c>
      <c r="D1121" s="2" t="str">
        <f t="shared" si="16"/>
        <v>Error?</v>
      </c>
    </row>
    <row r="1122" spans="1:4" x14ac:dyDescent="0.2">
      <c r="A1122" s="5">
        <v>1061</v>
      </c>
      <c r="B1122" s="138">
        <f>'Expenditures 15-22'!K53</f>
        <v>178294</v>
      </c>
      <c r="C1122" s="2" t="s">
        <v>573</v>
      </c>
      <c r="D1122" s="2" t="str">
        <f t="shared" si="16"/>
        <v>Error?</v>
      </c>
    </row>
    <row r="1123" spans="1:4" x14ac:dyDescent="0.2">
      <c r="A1123" s="5">
        <v>1062</v>
      </c>
      <c r="B1123" s="138">
        <f>'Expenditures 15-22'!K55</f>
        <v>307697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307697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96226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278645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374871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1409652</v>
      </c>
      <c r="C1143" s="2" t="s">
        <v>573</v>
      </c>
      <c r="D1143" s="2" t="str">
        <f t="shared" si="16"/>
        <v>Error?</v>
      </c>
    </row>
    <row r="1144" spans="1:4" x14ac:dyDescent="0.2">
      <c r="A1144" s="5">
        <v>1083</v>
      </c>
      <c r="B1144" s="138">
        <f>'Expenditures 15-22'!K75</f>
        <v>1689</v>
      </c>
      <c r="C1144" s="2" t="s">
        <v>573</v>
      </c>
      <c r="D1144" s="2" t="str">
        <f t="shared" si="16"/>
        <v>Error?</v>
      </c>
    </row>
    <row r="1145" spans="1:4" x14ac:dyDescent="0.2">
      <c r="A1145" s="5">
        <v>1084</v>
      </c>
      <c r="B1145" s="138">
        <f>'Expenditures 15-22'!K102</f>
        <v>154011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5254580</v>
      </c>
      <c r="C1152" s="2" t="s">
        <v>573</v>
      </c>
      <c r="D1152" s="2" t="str">
        <f t="shared" si="17"/>
        <v>Error?</v>
      </c>
    </row>
    <row r="1153" spans="1:4" x14ac:dyDescent="0.2">
      <c r="A1153" s="5">
        <v>1092</v>
      </c>
      <c r="B1153" s="138">
        <f>'Expenditures 15-22'!K115</f>
        <v>-78141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189778</v>
      </c>
      <c r="D1221" s="2" t="str">
        <f t="shared" si="18"/>
        <v>Error?</v>
      </c>
    </row>
    <row r="1222" spans="1:4" x14ac:dyDescent="0.2">
      <c r="A1222" s="10">
        <v>1161</v>
      </c>
      <c r="D1222" s="2" t="str">
        <f t="shared" si="18"/>
        <v>OK</v>
      </c>
    </row>
    <row r="1223" spans="1:4" x14ac:dyDescent="0.2">
      <c r="A1223" s="5">
        <v>1162</v>
      </c>
      <c r="B1223" s="138">
        <f>'Expenditures 15-22'!C127</f>
        <v>189778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189778</v>
      </c>
      <c r="C1225" s="2" t="s">
        <v>573</v>
      </c>
      <c r="D1225" s="2" t="str">
        <f t="shared" si="18"/>
        <v>Error?</v>
      </c>
    </row>
    <row r="1226" spans="1:4" x14ac:dyDescent="0.2">
      <c r="A1226" s="5">
        <v>1165</v>
      </c>
      <c r="B1226" s="138">
        <f>'Expenditures 15-22'!C151</f>
        <v>189778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32339</v>
      </c>
      <c r="D1229" s="2" t="str">
        <f t="shared" si="18"/>
        <v>Error?</v>
      </c>
    </row>
    <row r="1230" spans="1:4" x14ac:dyDescent="0.2">
      <c r="A1230" s="10">
        <v>1169</v>
      </c>
      <c r="D1230" s="2" t="str">
        <f t="shared" si="18"/>
        <v>OK</v>
      </c>
    </row>
    <row r="1231" spans="1:4" x14ac:dyDescent="0.2">
      <c r="A1231" s="5">
        <v>1170</v>
      </c>
      <c r="B1231" s="138">
        <f>'Expenditures 15-22'!D127</f>
        <v>32339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32339</v>
      </c>
      <c r="C1233" s="2" t="s">
        <v>573</v>
      </c>
      <c r="D1233" s="2" t="str">
        <f t="shared" si="18"/>
        <v>Error?</v>
      </c>
    </row>
    <row r="1234" spans="1:4" x14ac:dyDescent="0.2">
      <c r="A1234" s="5">
        <v>1173</v>
      </c>
      <c r="B1234" s="138">
        <f>'Expenditures 15-22'!D151</f>
        <v>32339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94244</v>
      </c>
      <c r="D1236" s="2" t="str">
        <f t="shared" si="18"/>
        <v>Error?</v>
      </c>
    </row>
    <row r="1237" spans="1:4" x14ac:dyDescent="0.2">
      <c r="A1237" s="5">
        <v>1176</v>
      </c>
      <c r="B1237" s="138">
        <f>'Expenditures 15-22'!E124</f>
        <v>73799</v>
      </c>
      <c r="D1237" s="2" t="str">
        <f t="shared" si="18"/>
        <v>Error?</v>
      </c>
    </row>
    <row r="1238" spans="1:4" x14ac:dyDescent="0.2">
      <c r="A1238" s="10">
        <v>1177</v>
      </c>
      <c r="D1238" s="2" t="str">
        <f t="shared" si="18"/>
        <v>OK</v>
      </c>
    </row>
    <row r="1239" spans="1:4" x14ac:dyDescent="0.2">
      <c r="A1239" s="5">
        <v>1178</v>
      </c>
      <c r="B1239" s="138">
        <f>'Expenditures 15-22'!E127</f>
        <v>173100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173100</v>
      </c>
      <c r="C1241" s="2" t="s">
        <v>573</v>
      </c>
      <c r="D1241" s="2" t="str">
        <f t="shared" si="18"/>
        <v>Error?</v>
      </c>
    </row>
    <row r="1242" spans="1:4" x14ac:dyDescent="0.2">
      <c r="A1242" s="5">
        <v>1181</v>
      </c>
      <c r="B1242" s="138">
        <f>'Expenditures 15-22'!E151</f>
        <v>173100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168772</v>
      </c>
      <c r="D1245" s="2" t="str">
        <f t="shared" si="18"/>
        <v>Error?</v>
      </c>
    </row>
    <row r="1246" spans="1:4" x14ac:dyDescent="0.2">
      <c r="A1246" s="10">
        <v>1185</v>
      </c>
      <c r="D1246" s="2" t="str">
        <f t="shared" si="18"/>
        <v>OK</v>
      </c>
    </row>
    <row r="1247" spans="1:4" x14ac:dyDescent="0.2">
      <c r="A1247" s="5">
        <v>1186</v>
      </c>
      <c r="B1247" s="138">
        <f>'Expenditures 15-22'!F127</f>
        <v>173420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173420</v>
      </c>
      <c r="C1249" s="2" t="s">
        <v>573</v>
      </c>
      <c r="D1249" s="2" t="str">
        <f t="shared" si="18"/>
        <v>Error?</v>
      </c>
    </row>
    <row r="1250" spans="1:4" x14ac:dyDescent="0.2">
      <c r="A1250" s="5">
        <v>1189</v>
      </c>
      <c r="B1250" s="138">
        <f>'Expenditures 15-22'!F151</f>
        <v>173420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35654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35654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35654</v>
      </c>
      <c r="C1258" s="2" t="s">
        <v>573</v>
      </c>
      <c r="D1258" s="2" t="str">
        <f t="shared" si="18"/>
        <v>Error?</v>
      </c>
    </row>
    <row r="1259" spans="1:4" x14ac:dyDescent="0.2">
      <c r="A1259" s="5">
        <v>1198</v>
      </c>
      <c r="B1259" s="138">
        <f>'Expenditures 15-22'!G151</f>
        <v>35654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94244</v>
      </c>
      <c r="C1275" s="2" t="s">
        <v>573</v>
      </c>
      <c r="D1275" s="2" t="str">
        <f t="shared" si="18"/>
        <v>Error?</v>
      </c>
    </row>
    <row r="1276" spans="1:4" x14ac:dyDescent="0.2">
      <c r="A1276" s="5">
        <v>1215</v>
      </c>
      <c r="B1276" s="138">
        <f>'Expenditures 15-22'!K124</f>
        <v>500342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604291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604291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604291</v>
      </c>
      <c r="C1288" s="2" t="s">
        <v>573</v>
      </c>
      <c r="D1288" s="2" t="str">
        <f t="shared" si="19"/>
        <v>Error?</v>
      </c>
    </row>
    <row r="1289" spans="1:4" x14ac:dyDescent="0.2">
      <c r="A1289" s="5">
        <v>1228</v>
      </c>
      <c r="B1289" s="138">
        <f>'Expenditures 15-22'!K152</f>
        <v>22170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314</v>
      </c>
      <c r="C1333" s="2" t="s">
        <v>573</v>
      </c>
      <c r="D1333" s="2" t="str">
        <f t="shared" si="19"/>
        <v>Error?</v>
      </c>
    </row>
    <row r="1334" spans="1:4" x14ac:dyDescent="0.2">
      <c r="A1334" s="10">
        <v>1273</v>
      </c>
      <c r="D1334" s="2" t="str">
        <f t="shared" si="19"/>
        <v>OK</v>
      </c>
    </row>
    <row r="1335" spans="1:4" x14ac:dyDescent="0.2">
      <c r="A1335" s="5">
        <v>1274</v>
      </c>
      <c r="B1335" s="138">
        <f>'Expenditures 15-22'!C182</f>
        <v>283790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283790</v>
      </c>
      <c r="C1339" s="2" t="s">
        <v>573</v>
      </c>
      <c r="D1339" s="2" t="str">
        <f t="shared" si="19"/>
        <v>Error?</v>
      </c>
    </row>
    <row r="1340" spans="1:4" x14ac:dyDescent="0.2">
      <c r="A1340" s="5">
        <v>1279</v>
      </c>
      <c r="B1340" s="138">
        <f>'Expenditures 15-22'!C210</f>
        <v>283790</v>
      </c>
      <c r="C1340" s="2" t="s">
        <v>573</v>
      </c>
      <c r="D1340" s="2" t="str">
        <f t="shared" si="19"/>
        <v>Error?</v>
      </c>
    </row>
    <row r="1341" spans="1:4" x14ac:dyDescent="0.2">
      <c r="A1341" s="5">
        <v>1280</v>
      </c>
      <c r="B1341" s="138">
        <f>'Expenditures 15-22'!D182</f>
        <v>15726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15726</v>
      </c>
      <c r="C1345" s="2" t="s">
        <v>573</v>
      </c>
      <c r="D1345" s="2" t="str">
        <f t="shared" si="20"/>
        <v>Error?</v>
      </c>
    </row>
    <row r="1346" spans="1:4" x14ac:dyDescent="0.2">
      <c r="A1346" s="5">
        <v>1285</v>
      </c>
      <c r="B1346" s="138">
        <f>'Expenditures 15-22'!D210</f>
        <v>15726</v>
      </c>
      <c r="C1346" s="2" t="s">
        <v>573</v>
      </c>
      <c r="D1346" s="2" t="str">
        <f t="shared" si="20"/>
        <v>Error?</v>
      </c>
    </row>
    <row r="1347" spans="1:4" x14ac:dyDescent="0.2">
      <c r="A1347" s="5">
        <v>1286</v>
      </c>
      <c r="B1347" s="138">
        <f>'Expenditures 15-22'!E182</f>
        <v>12998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12998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12998</v>
      </c>
      <c r="C1353" s="2" t="s">
        <v>573</v>
      </c>
      <c r="D1353" s="2" t="str">
        <f t="shared" si="20"/>
        <v>Error?</v>
      </c>
    </row>
    <row r="1354" spans="1:4" x14ac:dyDescent="0.2">
      <c r="A1354" s="5">
        <v>1293</v>
      </c>
      <c r="B1354" s="138">
        <f>'Expenditures 15-22'!F182</f>
        <v>83683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83683</v>
      </c>
      <c r="C1358" s="2" t="s">
        <v>573</v>
      </c>
      <c r="D1358" s="2" t="str">
        <f t="shared" si="20"/>
        <v>Error?</v>
      </c>
    </row>
    <row r="1359" spans="1:4" x14ac:dyDescent="0.2">
      <c r="A1359" s="5">
        <v>1298</v>
      </c>
      <c r="B1359" s="138">
        <f>'Expenditures 15-22'!F210</f>
        <v>83683</v>
      </c>
      <c r="C1359" s="2" t="s">
        <v>573</v>
      </c>
      <c r="D1359" s="2" t="str">
        <f t="shared" si="20"/>
        <v>Error?</v>
      </c>
    </row>
    <row r="1360" spans="1:4" x14ac:dyDescent="0.2">
      <c r="A1360" s="5">
        <v>1299</v>
      </c>
      <c r="B1360" s="138">
        <f>'Expenditures 15-22'!G182</f>
        <v>5100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5100</v>
      </c>
      <c r="C1364" s="2" t="s">
        <v>573</v>
      </c>
      <c r="D1364" s="2" t="str">
        <f t="shared" si="20"/>
        <v>Error?</v>
      </c>
    </row>
    <row r="1365" spans="1:4" x14ac:dyDescent="0.2">
      <c r="A1365" s="5">
        <v>1304</v>
      </c>
      <c r="B1365" s="138">
        <f>'Expenditures 15-22'!G210</f>
        <v>5100</v>
      </c>
      <c r="C1365" s="2" t="s">
        <v>573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27469</v>
      </c>
      <c r="C1375" s="2" t="s">
        <v>573</v>
      </c>
      <c r="D1375" s="2" t="str">
        <f t="shared" si="20"/>
        <v>Error?</v>
      </c>
    </row>
    <row r="1376" spans="1:4" x14ac:dyDescent="0.2">
      <c r="A1376" s="5">
        <v>1315</v>
      </c>
      <c r="B1376" s="138">
        <f>'Expenditures 15-22'!H210</f>
        <v>27534</v>
      </c>
      <c r="C1376" s="2" t="s">
        <v>573</v>
      </c>
      <c r="D1376" s="2" t="str">
        <f t="shared" si="20"/>
        <v>Error?</v>
      </c>
    </row>
    <row r="1377" spans="1:4" x14ac:dyDescent="0.2">
      <c r="A1377" s="5">
        <v>1316</v>
      </c>
      <c r="B1377" s="138">
        <f>'Expenditures 15-22'!K182</f>
        <v>401362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401362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27469</v>
      </c>
      <c r="C1387" s="2" t="s">
        <v>573</v>
      </c>
      <c r="D1387" s="2" t="str">
        <f t="shared" si="20"/>
        <v>Error?</v>
      </c>
    </row>
    <row r="1388" spans="1:4" x14ac:dyDescent="0.2">
      <c r="A1388" s="5">
        <v>1327</v>
      </c>
      <c r="B1388" s="138">
        <f>'Expenditures 15-22'!K210</f>
        <v>428831</v>
      </c>
      <c r="C1388" s="2" t="s">
        <v>573</v>
      </c>
      <c r="D1388" s="2" t="str">
        <f t="shared" si="20"/>
        <v>Error?</v>
      </c>
    </row>
    <row r="1389" spans="1:4" x14ac:dyDescent="0.2">
      <c r="A1389" s="5">
        <v>1328</v>
      </c>
      <c r="B1389" s="138">
        <f>'Expenditures 15-22'!K211</f>
        <v>42926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61</v>
      </c>
      <c r="D1407" s="2" t="str">
        <f t="shared" ref="D1407:D1470" si="21">IF(ISBLANK(B1407),"OK",IF(A1407-B1407=0,"OK","Error?"))</f>
        <v>Error?</v>
      </c>
    </row>
    <row r="1408" spans="1:4" x14ac:dyDescent="0.2">
      <c r="A1408" s="5">
        <v>1347</v>
      </c>
      <c r="B1408" s="138">
        <f>'Expenditures 15-22'!D223</f>
        <v>6763</v>
      </c>
      <c r="D1408" s="2" t="str">
        <f t="shared" si="21"/>
        <v>Error?</v>
      </c>
    </row>
    <row r="1409" spans="1:4" x14ac:dyDescent="0.2">
      <c r="A1409" s="5">
        <v>1348</v>
      </c>
      <c r="B1409" s="138">
        <f>'Expenditures 15-22'!D224</f>
        <v>14</v>
      </c>
      <c r="D1409" s="2" t="str">
        <f t="shared" si="21"/>
        <v>Error?</v>
      </c>
    </row>
    <row r="1410" spans="1:4" x14ac:dyDescent="0.2">
      <c r="A1410" s="5">
        <v>1349</v>
      </c>
      <c r="B1410" s="138">
        <f>'Expenditures 15-22'!D229</f>
        <v>81571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5576</v>
      </c>
      <c r="D1412" s="2" t="str">
        <f t="shared" si="21"/>
        <v>Error?</v>
      </c>
    </row>
    <row r="1413" spans="1:4" x14ac:dyDescent="0.2">
      <c r="A1413" s="5">
        <v>1352</v>
      </c>
      <c r="B1413" s="138">
        <f>'Expenditures 15-22'!D234</f>
        <v>4043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9619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15682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15682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3134</v>
      </c>
      <c r="D1423" s="2" t="str">
        <f t="shared" si="21"/>
        <v>Error?</v>
      </c>
    </row>
    <row r="1424" spans="1:4" x14ac:dyDescent="0.2">
      <c r="A1424" s="5">
        <v>1363</v>
      </c>
      <c r="B1424" s="138">
        <f>'Expenditures 15-22'!D257</f>
        <v>3134</v>
      </c>
      <c r="C1424" s="2" t="s">
        <v>573</v>
      </c>
      <c r="D1424" s="2" t="str">
        <f t="shared" si="21"/>
        <v>Error?</v>
      </c>
    </row>
    <row r="1425" spans="1:4" x14ac:dyDescent="0.2">
      <c r="A1425" s="5">
        <v>1364</v>
      </c>
      <c r="B1425" s="138">
        <f>'Expenditures 15-22'!D259</f>
        <v>19592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19592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15726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37793</v>
      </c>
      <c r="D1431" s="2" t="str">
        <f t="shared" si="21"/>
        <v>Error?</v>
      </c>
    </row>
    <row r="1432" spans="1:4" x14ac:dyDescent="0.2">
      <c r="A1432" s="5">
        <v>1371</v>
      </c>
      <c r="B1432" s="138">
        <f>'Expenditures 15-22'!D267</f>
        <v>50426</v>
      </c>
      <c r="D1432" s="2" t="str">
        <f t="shared" si="21"/>
        <v>Error?</v>
      </c>
    </row>
    <row r="1433" spans="1:4" x14ac:dyDescent="0.2">
      <c r="A1433" s="5">
        <v>1372</v>
      </c>
      <c r="B1433" s="138">
        <f>'Expenditures 15-22'!D268</f>
        <v>21916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125861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173888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255459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61</v>
      </c>
      <c r="C1471" s="2" t="s">
        <v>573</v>
      </c>
      <c r="D1471" s="2" t="str">
        <f t="shared" ref="D1471:D1534" si="22">IF(ISBLANK(B1471),"OK",IF(A1471-B1471=0,"OK","Error?"))</f>
        <v>Error?</v>
      </c>
    </row>
    <row r="1472" spans="1:4" x14ac:dyDescent="0.2">
      <c r="A1472" s="5">
        <v>1411</v>
      </c>
      <c r="B1472" s="138">
        <f>'Expenditures 15-22'!K223</f>
        <v>6763</v>
      </c>
      <c r="C1472" s="2" t="s">
        <v>573</v>
      </c>
      <c r="D1472" s="2" t="str">
        <f t="shared" si="22"/>
        <v>Error?</v>
      </c>
    </row>
    <row r="1473" spans="1:4" x14ac:dyDescent="0.2">
      <c r="A1473" s="5">
        <v>1412</v>
      </c>
      <c r="B1473" s="138">
        <f>'Expenditures 15-22'!K224</f>
        <v>14</v>
      </c>
      <c r="C1473" s="2" t="s">
        <v>573</v>
      </c>
      <c r="D1473" s="2" t="str">
        <f t="shared" si="22"/>
        <v>Error?</v>
      </c>
    </row>
    <row r="1474" spans="1:4" x14ac:dyDescent="0.2">
      <c r="A1474" s="5">
        <v>1413</v>
      </c>
      <c r="B1474" s="138">
        <f>'Expenditures 15-22'!K229</f>
        <v>81571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5576</v>
      </c>
      <c r="C1476" s="2" t="s">
        <v>573</v>
      </c>
      <c r="D1476" s="2" t="str">
        <f t="shared" si="22"/>
        <v>Error?</v>
      </c>
    </row>
    <row r="1477" spans="1:4" x14ac:dyDescent="0.2">
      <c r="A1477" s="5">
        <v>1416</v>
      </c>
      <c r="B1477" s="138">
        <f>'Expenditures 15-22'!K234</f>
        <v>4043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9619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15682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15682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3134</v>
      </c>
      <c r="C1487" s="2" t="s">
        <v>573</v>
      </c>
      <c r="D1487" s="2" t="str">
        <f t="shared" si="22"/>
        <v>Error?</v>
      </c>
    </row>
    <row r="1488" spans="1:4" x14ac:dyDescent="0.2">
      <c r="A1488" s="5">
        <v>1427</v>
      </c>
      <c r="B1488" s="138">
        <f>'Expenditures 15-22'!K257</f>
        <v>3134</v>
      </c>
      <c r="C1488" s="2" t="s">
        <v>573</v>
      </c>
      <c r="D1488" s="2" t="str">
        <f t="shared" si="22"/>
        <v>Error?</v>
      </c>
    </row>
    <row r="1489" spans="1:4" x14ac:dyDescent="0.2">
      <c r="A1489" s="5">
        <v>1428</v>
      </c>
      <c r="B1489" s="138">
        <f>'Expenditures 15-22'!K259</f>
        <v>19592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19592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15726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37793</v>
      </c>
      <c r="C1495" s="2" t="s">
        <v>573</v>
      </c>
      <c r="D1495" s="2" t="str">
        <f t="shared" si="22"/>
        <v>Error?</v>
      </c>
    </row>
    <row r="1496" spans="1:4" x14ac:dyDescent="0.2">
      <c r="A1496" s="5">
        <v>1435</v>
      </c>
      <c r="B1496" s="138">
        <f>'Expenditures 15-22'!K267</f>
        <v>50426</v>
      </c>
      <c r="C1496" s="2" t="s">
        <v>573</v>
      </c>
      <c r="D1496" s="2" t="str">
        <f t="shared" si="22"/>
        <v>Error?</v>
      </c>
    </row>
    <row r="1497" spans="1:4" x14ac:dyDescent="0.2">
      <c r="A1497" s="5">
        <v>1436</v>
      </c>
      <c r="B1497" s="138">
        <f>'Expenditures 15-22'!K268</f>
        <v>21916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125861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173888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255459</v>
      </c>
      <c r="C1517" s="2" t="s">
        <v>573</v>
      </c>
      <c r="D1517" s="2" t="str">
        <f t="shared" si="22"/>
        <v>Error?</v>
      </c>
    </row>
    <row r="1518" spans="1:4" x14ac:dyDescent="0.2">
      <c r="A1518" s="5">
        <v>1457</v>
      </c>
      <c r="B1518" s="138">
        <f>'Expenditures 15-22'!K296</f>
        <v>34609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1027369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949228</v>
      </c>
      <c r="C1630" s="2" t="s">
        <v>573</v>
      </c>
      <c r="D1630" s="2" t="str">
        <f t="shared" si="24"/>
        <v>Error?</v>
      </c>
    </row>
    <row r="1631" spans="1:4" x14ac:dyDescent="0.2">
      <c r="A1631" s="5">
        <v>1570</v>
      </c>
      <c r="B1631" s="138">
        <f>'Acct Summary 7-8'!D79</f>
        <v>838985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861155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314</v>
      </c>
      <c r="C1658" s="2" t="s">
        <v>573</v>
      </c>
      <c r="D1658" s="2" t="str">
        <f t="shared" si="24"/>
        <v>Error?</v>
      </c>
    </row>
    <row r="1659" spans="1:4" x14ac:dyDescent="0.2">
      <c r="A1659" s="5">
        <v>1598</v>
      </c>
      <c r="B1659" s="138">
        <f>'Acct Summary 7-8'!F79</f>
        <v>353520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396446</v>
      </c>
      <c r="C1672" s="2" t="s">
        <v>573</v>
      </c>
      <c r="D1672" s="2" t="str">
        <f t="shared" si="25"/>
        <v>Error?</v>
      </c>
    </row>
    <row r="1673" spans="1:4" x14ac:dyDescent="0.2">
      <c r="A1673" s="5">
        <v>1612</v>
      </c>
      <c r="B1673" s="138">
        <f>'Acct Summary 7-8'!G79</f>
        <v>209283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243892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2942239</v>
      </c>
      <c r="C1744" s="2" t="s">
        <v>573</v>
      </c>
      <c r="D1744" s="2" t="str">
        <f t="shared" si="26"/>
        <v>Error?</v>
      </c>
    </row>
    <row r="1745" spans="1:5" x14ac:dyDescent="0.2">
      <c r="A1745" s="5">
        <v>1684</v>
      </c>
      <c r="B1745" s="138">
        <f>'Tax Sched 23'!B5</f>
        <v>612966</v>
      </c>
      <c r="C1745" s="2" t="s">
        <v>573</v>
      </c>
      <c r="D1745" s="2" t="str">
        <f t="shared" si="26"/>
        <v>Error?</v>
      </c>
    </row>
    <row r="1746" spans="1:5" x14ac:dyDescent="0.2">
      <c r="A1746" s="5">
        <v>1685</v>
      </c>
      <c r="B1746" s="138">
        <f>'Tax Sched 23'!B6</f>
        <v>278</v>
      </c>
      <c r="C1746" s="2" t="s">
        <v>573</v>
      </c>
      <c r="D1746" s="2" t="str">
        <f t="shared" si="26"/>
        <v>Error?</v>
      </c>
    </row>
    <row r="1747" spans="1:5" x14ac:dyDescent="0.2">
      <c r="A1747" s="5">
        <v>1686</v>
      </c>
      <c r="B1747" s="138">
        <f>'Tax Sched 23'!B7</f>
        <v>204323</v>
      </c>
      <c r="C1747" s="2" t="s">
        <v>573</v>
      </c>
      <c r="D1747" s="2" t="str">
        <f t="shared" si="26"/>
        <v>Error?</v>
      </c>
    </row>
    <row r="1748" spans="1:5" x14ac:dyDescent="0.2">
      <c r="A1748" s="5">
        <v>1687</v>
      </c>
      <c r="B1748" s="138">
        <f>'Tax Sched 23'!B8</f>
        <v>142940</v>
      </c>
      <c r="C1748" s="2" t="s">
        <v>573</v>
      </c>
      <c r="D1748" s="2" t="str">
        <f t="shared" si="26"/>
        <v>Error?</v>
      </c>
    </row>
    <row r="1749" spans="1:5" x14ac:dyDescent="0.2">
      <c r="A1749" s="5">
        <v>1688</v>
      </c>
      <c r="B1749" s="138">
        <f>'Tax Sched 23'!B10</f>
        <v>53765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299856</v>
      </c>
      <c r="C1752" s="2" t="s">
        <v>573</v>
      </c>
      <c r="D1752" s="2" t="str">
        <f t="shared" si="26"/>
        <v>Error?</v>
      </c>
    </row>
    <row r="1753" spans="1:5" x14ac:dyDescent="0.2">
      <c r="A1753" s="5">
        <v>1692</v>
      </c>
      <c r="B1753" s="138">
        <f>'Tax Sched 23'!B12</f>
        <v>51080</v>
      </c>
      <c r="C1753" s="2" t="s">
        <v>573</v>
      </c>
      <c r="D1753" s="2" t="str">
        <f t="shared" si="26"/>
        <v>Error?</v>
      </c>
    </row>
    <row r="1754" spans="1:5" x14ac:dyDescent="0.2">
      <c r="A1754" s="5">
        <v>1693</v>
      </c>
      <c r="B1754" s="138">
        <f>'Tax Sched 23'!B14</f>
        <v>40865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4542332</v>
      </c>
      <c r="C1759" s="2" t="s">
        <v>573</v>
      </c>
      <c r="D1759" s="2" t="str">
        <f t="shared" si="26"/>
        <v>Error?</v>
      </c>
    </row>
    <row r="1760" spans="1:5" x14ac:dyDescent="0.2">
      <c r="A1760" s="5">
        <v>1699</v>
      </c>
      <c r="B1760" s="138">
        <f>'Tax Sched 23'!D4</f>
        <v>2942239</v>
      </c>
      <c r="C1760" s="2" t="s">
        <v>573</v>
      </c>
      <c r="D1760" s="2" t="str">
        <f t="shared" si="26"/>
        <v>Error?</v>
      </c>
    </row>
    <row r="1761" spans="1:5" x14ac:dyDescent="0.2">
      <c r="A1761" s="5">
        <v>1700</v>
      </c>
      <c r="B1761" s="138">
        <f>'Tax Sched 23'!D5</f>
        <v>612966</v>
      </c>
      <c r="C1761" s="2" t="s">
        <v>573</v>
      </c>
      <c r="D1761" s="2" t="str">
        <f t="shared" si="26"/>
        <v>Error?</v>
      </c>
    </row>
    <row r="1762" spans="1:5" s="8" customFormat="1" x14ac:dyDescent="0.2">
      <c r="A1762" s="5">
        <v>1701</v>
      </c>
      <c r="B1762" s="138">
        <f>'Tax Sched 23'!D6</f>
        <v>278</v>
      </c>
      <c r="C1762" s="2" t="s">
        <v>573</v>
      </c>
      <c r="D1762" s="2" t="str">
        <f t="shared" si="26"/>
        <v>Error?</v>
      </c>
      <c r="E1762" s="9"/>
    </row>
    <row r="1763" spans="1:5" x14ac:dyDescent="0.2">
      <c r="A1763" s="5">
        <v>1702</v>
      </c>
      <c r="B1763" s="138">
        <f>'Tax Sched 23'!D7</f>
        <v>204323</v>
      </c>
      <c r="C1763" s="2" t="s">
        <v>573</v>
      </c>
      <c r="D1763" s="2" t="str">
        <f t="shared" si="26"/>
        <v>Error?</v>
      </c>
    </row>
    <row r="1764" spans="1:5" x14ac:dyDescent="0.2">
      <c r="A1764" s="5">
        <v>1703</v>
      </c>
      <c r="B1764" s="138">
        <f>'Tax Sched 23'!D8</f>
        <v>142940</v>
      </c>
      <c r="C1764" s="2" t="s">
        <v>573</v>
      </c>
      <c r="D1764" s="2" t="str">
        <f t="shared" si="26"/>
        <v>Error?</v>
      </c>
    </row>
    <row r="1765" spans="1:5" x14ac:dyDescent="0.2">
      <c r="A1765" s="5">
        <v>1704</v>
      </c>
      <c r="B1765" s="138">
        <f>'Tax Sched 23'!D10</f>
        <v>53765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299856</v>
      </c>
      <c r="C1768" s="2" t="s">
        <v>573</v>
      </c>
      <c r="D1768" s="2" t="str">
        <f t="shared" si="26"/>
        <v>Error?</v>
      </c>
    </row>
    <row r="1769" spans="1:5" x14ac:dyDescent="0.2">
      <c r="A1769" s="5">
        <v>1708</v>
      </c>
      <c r="B1769" s="138">
        <f>'Tax Sched 23'!D12</f>
        <v>51080</v>
      </c>
      <c r="C1769" s="2" t="s">
        <v>573</v>
      </c>
      <c r="D1769" s="2" t="str">
        <f t="shared" si="26"/>
        <v>Error?</v>
      </c>
    </row>
    <row r="1770" spans="1:5" x14ac:dyDescent="0.2">
      <c r="A1770" s="5">
        <v>1709</v>
      </c>
      <c r="B1770" s="138">
        <f>'Tax Sched 23'!D14</f>
        <v>40865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4542332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2968820.9855999998</v>
      </c>
      <c r="C1792" s="2" t="s">
        <v>573</v>
      </c>
      <c r="D1792" s="2" t="str">
        <f t="shared" si="27"/>
        <v>Error?</v>
      </c>
    </row>
    <row r="1793" spans="1:4" x14ac:dyDescent="0.2">
      <c r="A1793" s="5">
        <v>1732</v>
      </c>
      <c r="B1793" s="138">
        <f>'Tax Sched 23'!F5</f>
        <v>618504.37199999997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206168.12400000001</v>
      </c>
      <c r="C1795" s="2" t="s">
        <v>573</v>
      </c>
      <c r="D1795" s="2" t="str">
        <f t="shared" si="27"/>
        <v>Error?</v>
      </c>
    </row>
    <row r="1796" spans="1:4" x14ac:dyDescent="0.2">
      <c r="A1796" s="5">
        <v>1735</v>
      </c>
      <c r="B1796" s="138">
        <f>'Tax Sched 23'!F8</f>
        <v>135009.19600140001</v>
      </c>
      <c r="C1796" s="2" t="s">
        <v>573</v>
      </c>
      <c r="D1796" s="2" t="str">
        <f t="shared" si="27"/>
        <v>Error?</v>
      </c>
    </row>
    <row r="1797" spans="1:4" x14ac:dyDescent="0.2">
      <c r="A1797" s="5">
        <v>1736</v>
      </c>
      <c r="B1797" s="138">
        <f>'Tax Sched 23'!F10</f>
        <v>51542.031000000003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300005.54563860002</v>
      </c>
      <c r="C1800" s="2" t="s">
        <v>573</v>
      </c>
      <c r="D1800" s="2" t="str">
        <f t="shared" si="27"/>
        <v>Error?</v>
      </c>
    </row>
    <row r="1801" spans="1:4" x14ac:dyDescent="0.2">
      <c r="A1801" s="5">
        <v>1740</v>
      </c>
      <c r="B1801" s="138">
        <f>'Tax Sched 23'!F12</f>
        <v>51542.031000000003</v>
      </c>
      <c r="C1801" s="2" t="s">
        <v>573</v>
      </c>
      <c r="D1801" s="2" t="str">
        <f t="shared" si="27"/>
        <v>Error?</v>
      </c>
    </row>
    <row r="1802" spans="1:4" x14ac:dyDescent="0.2">
      <c r="A1802" s="5">
        <v>1741</v>
      </c>
      <c r="B1802" s="138">
        <f>'Tax Sched 23'!F14</f>
        <v>41233.624800000005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4559377.1370414011</v>
      </c>
      <c r="C1807" s="2" t="s">
        <v>573</v>
      </c>
      <c r="D1807" s="2" t="str">
        <f t="shared" si="27"/>
        <v>Error?</v>
      </c>
    </row>
    <row r="1808" spans="1:4" x14ac:dyDescent="0.2">
      <c r="A1808" s="5">
        <v>1747</v>
      </c>
      <c r="B1808" s="138">
        <f>'Tax Sched 23'!E4</f>
        <v>2968820.9855999998</v>
      </c>
      <c r="D1808" s="2" t="str">
        <f t="shared" si="27"/>
        <v>Error?</v>
      </c>
    </row>
    <row r="1809" spans="1:4" x14ac:dyDescent="0.2">
      <c r="A1809" s="5">
        <v>1748</v>
      </c>
      <c r="B1809" s="138">
        <f>'Tax Sched 23'!E5</f>
        <v>618504.37199999997</v>
      </c>
      <c r="D1809" s="2" t="str">
        <f t="shared" si="27"/>
        <v>Error?</v>
      </c>
    </row>
    <row r="1810" spans="1:4" x14ac:dyDescent="0.2">
      <c r="A1810" s="5">
        <v>1749</v>
      </c>
      <c r="B1810" s="138">
        <f>'Tax Sched 23'!E6</f>
        <v>0</v>
      </c>
      <c r="D1810" s="2" t="str">
        <f t="shared" si="27"/>
        <v>Error?</v>
      </c>
    </row>
    <row r="1811" spans="1:4" x14ac:dyDescent="0.2">
      <c r="A1811" s="5">
        <v>1750</v>
      </c>
      <c r="B1811" s="138">
        <f>'Tax Sched 23'!E7</f>
        <v>206168.12400000001</v>
      </c>
      <c r="D1811" s="2" t="str">
        <f t="shared" si="27"/>
        <v>Error?</v>
      </c>
    </row>
    <row r="1812" spans="1:4" x14ac:dyDescent="0.2">
      <c r="A1812" s="5">
        <v>1751</v>
      </c>
      <c r="B1812" s="138">
        <f>'Tax Sched 23'!E8</f>
        <v>135009.19600140001</v>
      </c>
      <c r="D1812" s="2" t="str">
        <f t="shared" si="27"/>
        <v>Error?</v>
      </c>
    </row>
    <row r="1813" spans="1:4" x14ac:dyDescent="0.2">
      <c r="A1813" s="5">
        <v>1752</v>
      </c>
      <c r="B1813" s="138">
        <f>'Tax Sched 23'!E10</f>
        <v>51542.031000000003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300005.54563860002</v>
      </c>
      <c r="D1816" s="2" t="str">
        <f t="shared" si="27"/>
        <v>Error?</v>
      </c>
    </row>
    <row r="1817" spans="1:4" x14ac:dyDescent="0.2">
      <c r="A1817" s="5">
        <v>1756</v>
      </c>
      <c r="B1817" s="138">
        <f>'Tax Sched 23'!E12</f>
        <v>51542.031000000003</v>
      </c>
      <c r="D1817" s="2" t="str">
        <f t="shared" si="27"/>
        <v>Error?</v>
      </c>
    </row>
    <row r="1818" spans="1:4" x14ac:dyDescent="0.2">
      <c r="A1818" s="5">
        <v>1757</v>
      </c>
      <c r="B1818" s="138">
        <f>'Tax Sched 23'!E14</f>
        <v>41233.624800000005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4559377.1370414011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124129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40865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40865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40865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103400</v>
      </c>
      <c r="D2008" s="2" t="str">
        <f t="shared" si="30"/>
        <v>Error?</v>
      </c>
    </row>
    <row r="2009" spans="1:4" x14ac:dyDescent="0.2">
      <c r="A2009" s="5">
        <v>1948</v>
      </c>
      <c r="B2009" s="138">
        <f>'Cap Outlay Deprec 26'!C8</f>
        <v>6770203</v>
      </c>
      <c r="D2009" s="2" t="str">
        <f t="shared" si="30"/>
        <v>Error?</v>
      </c>
    </row>
    <row r="2010" spans="1:4" x14ac:dyDescent="0.2">
      <c r="A2010" s="5">
        <v>1949</v>
      </c>
      <c r="B2010" s="138">
        <f>'Cap Outlay Deprec 26'!C10</f>
        <v>589979</v>
      </c>
      <c r="D2010" s="2" t="str">
        <f t="shared" si="30"/>
        <v>Error?</v>
      </c>
    </row>
    <row r="2011" spans="1:4" x14ac:dyDescent="0.2">
      <c r="A2011" s="5">
        <v>1950</v>
      </c>
      <c r="B2011" s="138">
        <f>'Cap Outlay Deprec 26'!C12</f>
        <v>1246322</v>
      </c>
      <c r="D2011" s="2" t="str">
        <f t="shared" si="30"/>
        <v>Error?</v>
      </c>
    </row>
    <row r="2012" spans="1:4" x14ac:dyDescent="0.2">
      <c r="A2012" s="5">
        <v>1951</v>
      </c>
      <c r="B2012" s="138">
        <f>'Cap Outlay Deprec 26'!C13</f>
        <v>1423698</v>
      </c>
      <c r="D2012" s="2" t="str">
        <f t="shared" si="30"/>
        <v>Error?</v>
      </c>
    </row>
    <row r="2013" spans="1:4" x14ac:dyDescent="0.2">
      <c r="A2013" s="5">
        <v>1952</v>
      </c>
      <c r="B2013" s="138">
        <f>'Cap Outlay Deprec 26'!C16</f>
        <v>10579465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359988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100931</v>
      </c>
      <c r="D2017" s="2" t="str">
        <f t="shared" si="30"/>
        <v>Error?</v>
      </c>
    </row>
    <row r="2018" spans="1:4" x14ac:dyDescent="0.2">
      <c r="A2018" s="5">
        <v>1957</v>
      </c>
      <c r="B2018" s="138">
        <f>'Cap Outlay Deprec 26'!D13</f>
        <v>5100</v>
      </c>
      <c r="D2018" s="2" t="str">
        <f t="shared" si="30"/>
        <v>Error?</v>
      </c>
    </row>
    <row r="2019" spans="1:4" x14ac:dyDescent="0.2">
      <c r="A2019" s="5">
        <v>1958</v>
      </c>
      <c r="B2019" s="138">
        <f>'Cap Outlay Deprec 26'!D16</f>
        <v>466019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44339</v>
      </c>
      <c r="D2024" s="2" t="str">
        <f t="shared" si="30"/>
        <v>Error?</v>
      </c>
    </row>
    <row r="2025" spans="1:4" x14ac:dyDescent="0.2">
      <c r="A2025" s="5">
        <v>1964</v>
      </c>
      <c r="B2025" s="138">
        <f>'Cap Outlay Deprec 26'!E16</f>
        <v>44339</v>
      </c>
      <c r="C2025" s="2" t="s">
        <v>573</v>
      </c>
      <c r="D2025" s="2" t="str">
        <f t="shared" si="30"/>
        <v>Error?</v>
      </c>
    </row>
    <row r="2026" spans="1:4" x14ac:dyDescent="0.2">
      <c r="A2026" s="5">
        <v>1965</v>
      </c>
      <c r="B2026" s="138">
        <f>'Cap Outlay Deprec 26'!F5</f>
        <v>103400</v>
      </c>
      <c r="C2026" s="2" t="s">
        <v>573</v>
      </c>
      <c r="D2026" s="2" t="str">
        <f t="shared" si="30"/>
        <v>Error?</v>
      </c>
    </row>
    <row r="2027" spans="1:4" x14ac:dyDescent="0.2">
      <c r="A2027" s="5">
        <v>1966</v>
      </c>
      <c r="B2027" s="138">
        <f>'Cap Outlay Deprec 26'!F8</f>
        <v>7130191</v>
      </c>
      <c r="C2027" s="2" t="s">
        <v>573</v>
      </c>
      <c r="D2027" s="2" t="str">
        <f t="shared" si="30"/>
        <v>Error?</v>
      </c>
    </row>
    <row r="2028" spans="1:4" x14ac:dyDescent="0.2">
      <c r="A2028" s="5">
        <v>1967</v>
      </c>
      <c r="B2028" s="138">
        <f>'Cap Outlay Deprec 26'!F10</f>
        <v>589979</v>
      </c>
      <c r="C2028" s="2" t="s">
        <v>573</v>
      </c>
      <c r="D2028" s="2" t="str">
        <f t="shared" si="30"/>
        <v>Error?</v>
      </c>
    </row>
    <row r="2029" spans="1:4" x14ac:dyDescent="0.2">
      <c r="A2029" s="5">
        <v>1968</v>
      </c>
      <c r="B2029" s="138">
        <f>'Cap Outlay Deprec 26'!F12</f>
        <v>1347253</v>
      </c>
      <c r="C2029" s="2" t="s">
        <v>573</v>
      </c>
      <c r="D2029" s="2" t="str">
        <f t="shared" si="30"/>
        <v>Error?</v>
      </c>
    </row>
    <row r="2030" spans="1:4" x14ac:dyDescent="0.2">
      <c r="A2030" s="5">
        <v>1969</v>
      </c>
      <c r="B2030" s="138">
        <f>'Cap Outlay Deprec 26'!F13</f>
        <v>1384459</v>
      </c>
      <c r="C2030" s="2" t="s">
        <v>573</v>
      </c>
      <c r="D2030" s="2" t="str">
        <f t="shared" si="30"/>
        <v>Error?</v>
      </c>
    </row>
    <row r="2031" spans="1:4" x14ac:dyDescent="0.2">
      <c r="A2031" s="5">
        <v>1970</v>
      </c>
      <c r="B2031" s="138">
        <f>'Cap Outlay Deprec 26'!F16</f>
        <v>11001145</v>
      </c>
      <c r="C2031" s="2" t="s">
        <v>573</v>
      </c>
      <c r="D2031" s="2" t="str">
        <f t="shared" si="30"/>
        <v>Error?</v>
      </c>
    </row>
    <row r="2032" spans="1:4" x14ac:dyDescent="0.2">
      <c r="A2032" s="10">
        <v>1971</v>
      </c>
      <c r="D2032" s="2" t="str">
        <f t="shared" si="30"/>
        <v>OK</v>
      </c>
    </row>
    <row r="2033" spans="1:4" x14ac:dyDescent="0.2">
      <c r="A2033" s="5">
        <v>1972</v>
      </c>
      <c r="B2033" s="138">
        <f>'Cap Outlay Deprec 26'!H8</f>
        <v>3723107</v>
      </c>
      <c r="D2033" s="2" t="str">
        <f t="shared" si="30"/>
        <v>Error?</v>
      </c>
    </row>
    <row r="2034" spans="1:4" x14ac:dyDescent="0.2">
      <c r="A2034" s="5">
        <v>1973</v>
      </c>
      <c r="B2034" s="138">
        <f>'Cap Outlay Deprec 26'!H10</f>
        <v>362090</v>
      </c>
      <c r="D2034" s="2" t="str">
        <f t="shared" si="30"/>
        <v>Error?</v>
      </c>
    </row>
    <row r="2035" spans="1:4" x14ac:dyDescent="0.2">
      <c r="A2035" s="5">
        <v>1974</v>
      </c>
      <c r="B2035" s="138">
        <f>'Cap Outlay Deprec 26'!H12</f>
        <v>1072957</v>
      </c>
      <c r="D2035" s="2" t="str">
        <f t="shared" si="30"/>
        <v>Error?</v>
      </c>
    </row>
    <row r="2036" spans="1:4" x14ac:dyDescent="0.2">
      <c r="A2036" s="5">
        <v>1975</v>
      </c>
      <c r="B2036" s="138">
        <f>'Cap Outlay Deprec 26'!H13</f>
        <v>1103401</v>
      </c>
      <c r="D2036" s="2" t="str">
        <f t="shared" si="30"/>
        <v>Error?</v>
      </c>
    </row>
    <row r="2037" spans="1:4" x14ac:dyDescent="0.2">
      <c r="A2037" s="5">
        <v>1976</v>
      </c>
      <c r="B2037" s="138">
        <f>'Cap Outlay Deprec 26'!H16</f>
        <v>6707418</v>
      </c>
      <c r="C2037" s="2" t="s">
        <v>573</v>
      </c>
      <c r="D2037" s="2" t="str">
        <f t="shared" si="30"/>
        <v>Error?</v>
      </c>
    </row>
    <row r="2038" spans="1:4" x14ac:dyDescent="0.2">
      <c r="A2038" s="10">
        <v>1977</v>
      </c>
      <c r="D2038" s="2" t="str">
        <f t="shared" si="30"/>
        <v>OK</v>
      </c>
    </row>
    <row r="2039" spans="1:4" x14ac:dyDescent="0.2">
      <c r="A2039" s="5">
        <v>1978</v>
      </c>
      <c r="B2039" s="138">
        <f>'Cap Outlay Deprec 26'!I8</f>
        <v>146008</v>
      </c>
      <c r="D2039" s="2" t="str">
        <f t="shared" si="30"/>
        <v>Error?</v>
      </c>
    </row>
    <row r="2040" spans="1:4" x14ac:dyDescent="0.2">
      <c r="A2040" s="5">
        <v>1979</v>
      </c>
      <c r="B2040" s="138">
        <f>'Cap Outlay Deprec 26'!I10</f>
        <v>19157</v>
      </c>
      <c r="D2040" s="2" t="str">
        <f t="shared" si="30"/>
        <v>Error?</v>
      </c>
    </row>
    <row r="2041" spans="1:4" x14ac:dyDescent="0.2">
      <c r="A2041" s="5">
        <v>1980</v>
      </c>
      <c r="B2041" s="138">
        <f>'Cap Outlay Deprec 26'!I12</f>
        <v>39914</v>
      </c>
      <c r="D2041" s="2" t="str">
        <f t="shared" si="30"/>
        <v>Error?</v>
      </c>
    </row>
    <row r="2042" spans="1:4" x14ac:dyDescent="0.2">
      <c r="A2042" s="5">
        <v>1981</v>
      </c>
      <c r="B2042" s="138">
        <f>'Cap Outlay Deprec 26'!I13</f>
        <v>127752</v>
      </c>
      <c r="D2042" s="2" t="str">
        <f t="shared" si="30"/>
        <v>Error?</v>
      </c>
    </row>
    <row r="2043" spans="1:4" x14ac:dyDescent="0.2">
      <c r="A2043" s="5">
        <v>1982</v>
      </c>
      <c r="B2043" s="138">
        <f>'Cap Outlay Deprec 26'!I16</f>
        <v>332831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44339</v>
      </c>
      <c r="D2048" s="2" t="str">
        <f t="shared" si="31"/>
        <v>Error?</v>
      </c>
    </row>
    <row r="2049" spans="1:4" x14ac:dyDescent="0.2">
      <c r="A2049" s="5">
        <v>1988</v>
      </c>
      <c r="B2049" s="138">
        <f>'Cap Outlay Deprec 26'!J16</f>
        <v>44339</v>
      </c>
      <c r="C2049" s="2" t="s">
        <v>573</v>
      </c>
      <c r="D2049" s="2" t="str">
        <f t="shared" si="31"/>
        <v>Error?</v>
      </c>
    </row>
    <row r="2050" spans="1:4" x14ac:dyDescent="0.2">
      <c r="A2050" s="10">
        <v>1989</v>
      </c>
      <c r="D2050" s="2" t="str">
        <f t="shared" si="31"/>
        <v>OK</v>
      </c>
    </row>
    <row r="2051" spans="1:4" x14ac:dyDescent="0.2">
      <c r="A2051" s="5">
        <v>1990</v>
      </c>
      <c r="B2051" s="138">
        <f>'Cap Outlay Deprec 26'!K8</f>
        <v>3869115</v>
      </c>
      <c r="C2051" s="2" t="s">
        <v>573</v>
      </c>
      <c r="D2051" s="2" t="str">
        <f t="shared" si="31"/>
        <v>Error?</v>
      </c>
    </row>
    <row r="2052" spans="1:4" x14ac:dyDescent="0.2">
      <c r="A2052" s="5">
        <v>1991</v>
      </c>
      <c r="B2052" s="138">
        <f>'Cap Outlay Deprec 26'!K10</f>
        <v>381247</v>
      </c>
      <c r="C2052" s="2" t="s">
        <v>573</v>
      </c>
      <c r="D2052" s="2" t="str">
        <f t="shared" si="31"/>
        <v>Error?</v>
      </c>
    </row>
    <row r="2053" spans="1:4" x14ac:dyDescent="0.2">
      <c r="A2053" s="5">
        <v>1992</v>
      </c>
      <c r="B2053" s="138">
        <f>'Cap Outlay Deprec 26'!K12</f>
        <v>1112871</v>
      </c>
      <c r="C2053" s="2" t="s">
        <v>573</v>
      </c>
      <c r="D2053" s="2" t="str">
        <f t="shared" si="31"/>
        <v>Error?</v>
      </c>
    </row>
    <row r="2054" spans="1:4" x14ac:dyDescent="0.2">
      <c r="A2054" s="5">
        <v>1993</v>
      </c>
      <c r="B2054" s="138">
        <f>'Cap Outlay Deprec 26'!K13</f>
        <v>1186814</v>
      </c>
      <c r="C2054" s="2" t="s">
        <v>573</v>
      </c>
      <c r="D2054" s="2" t="str">
        <f t="shared" si="31"/>
        <v>Error?</v>
      </c>
    </row>
    <row r="2055" spans="1:4" x14ac:dyDescent="0.2">
      <c r="A2055" s="5">
        <v>1994</v>
      </c>
      <c r="B2055" s="138">
        <f>'Cap Outlay Deprec 26'!K16</f>
        <v>6995910</v>
      </c>
      <c r="C2055" s="2" t="s">
        <v>573</v>
      </c>
      <c r="D2055" s="2" t="str">
        <f t="shared" si="31"/>
        <v>Error?</v>
      </c>
    </row>
    <row r="2056" spans="1:4" x14ac:dyDescent="0.2">
      <c r="A2056" s="5">
        <v>1995</v>
      </c>
      <c r="B2056" s="138">
        <f>'Cap Outlay Deprec 26'!L5</f>
        <v>103400</v>
      </c>
      <c r="C2056" s="2" t="s">
        <v>573</v>
      </c>
      <c r="D2056" s="2" t="str">
        <f t="shared" si="31"/>
        <v>Error?</v>
      </c>
    </row>
    <row r="2057" spans="1:4" x14ac:dyDescent="0.2">
      <c r="A2057" s="5">
        <v>1996</v>
      </c>
      <c r="B2057" s="138">
        <f>'Cap Outlay Deprec 26'!L8</f>
        <v>3261076</v>
      </c>
      <c r="C2057" s="2" t="s">
        <v>573</v>
      </c>
      <c r="D2057" s="2" t="str">
        <f t="shared" si="31"/>
        <v>Error?</v>
      </c>
    </row>
    <row r="2058" spans="1:4" x14ac:dyDescent="0.2">
      <c r="A2058" s="5">
        <v>1997</v>
      </c>
      <c r="B2058" s="138">
        <f>'Cap Outlay Deprec 26'!L10</f>
        <v>208732</v>
      </c>
      <c r="C2058" s="2" t="s">
        <v>573</v>
      </c>
      <c r="D2058" s="2" t="str">
        <f t="shared" si="31"/>
        <v>Error?</v>
      </c>
    </row>
    <row r="2059" spans="1:4" x14ac:dyDescent="0.2">
      <c r="A2059" s="5">
        <v>1998</v>
      </c>
      <c r="B2059" s="138">
        <f>'Cap Outlay Deprec 26'!L12</f>
        <v>234382</v>
      </c>
      <c r="C2059" s="2" t="s">
        <v>573</v>
      </c>
      <c r="D2059" s="2" t="str">
        <f t="shared" si="31"/>
        <v>Error?</v>
      </c>
    </row>
    <row r="2060" spans="1:4" x14ac:dyDescent="0.2">
      <c r="A2060" s="5">
        <v>1999</v>
      </c>
      <c r="B2060" s="138">
        <f>'Cap Outlay Deprec 26'!L13</f>
        <v>197645</v>
      </c>
      <c r="C2060" s="2" t="s">
        <v>573</v>
      </c>
      <c r="D2060" s="2" t="str">
        <f t="shared" si="31"/>
        <v>Error?</v>
      </c>
    </row>
    <row r="2061" spans="1:4" x14ac:dyDescent="0.2">
      <c r="A2061" s="5">
        <v>2000</v>
      </c>
      <c r="B2061" s="138">
        <f>'Cap Outlay Deprec 26'!L16</f>
        <v>4005235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10174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79062</v>
      </c>
      <c r="C2088" s="2" t="s">
        <v>573</v>
      </c>
      <c r="D2088" s="2" t="str">
        <f t="shared" si="31"/>
        <v>Error?</v>
      </c>
    </row>
    <row r="2089" spans="1:4" x14ac:dyDescent="0.2">
      <c r="A2089" s="5">
        <v>2028</v>
      </c>
      <c r="B2089" s="138">
        <f>'Expenditures 15-22'!K92</f>
        <v>74949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112588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3877584</v>
      </c>
      <c r="C2551" s="2" t="s">
        <v>573</v>
      </c>
      <c r="D2551" s="2" t="str">
        <f t="shared" si="38"/>
        <v>Error?</v>
      </c>
    </row>
    <row r="2552" spans="1:4" x14ac:dyDescent="0.2">
      <c r="A2552" s="10">
        <v>2491</v>
      </c>
      <c r="D2552" s="2" t="str">
        <f t="shared" si="38"/>
        <v>OK</v>
      </c>
    </row>
    <row r="2553" spans="1:4" x14ac:dyDescent="0.2">
      <c r="A2553" s="5">
        <v>2492</v>
      </c>
      <c r="B2553" s="138">
        <f>'Acct Summary 7-8'!C6</f>
        <v>890696</v>
      </c>
      <c r="C2553" s="2" t="s">
        <v>573</v>
      </c>
      <c r="D2553" s="2" t="str">
        <f t="shared" si="38"/>
        <v>Error?</v>
      </c>
    </row>
    <row r="2554" spans="1:4" x14ac:dyDescent="0.2">
      <c r="A2554" s="5">
        <v>2493</v>
      </c>
      <c r="B2554" s="138">
        <f>'Acct Summary 7-8'!C7</f>
        <v>408159</v>
      </c>
      <c r="C2554" s="2" t="s">
        <v>573</v>
      </c>
      <c r="D2554" s="2" t="str">
        <f t="shared" si="38"/>
        <v>Error?</v>
      </c>
    </row>
    <row r="2555" spans="1:4" x14ac:dyDescent="0.2">
      <c r="A2555" s="5">
        <v>2494</v>
      </c>
      <c r="B2555" s="138">
        <f>'Acct Summary 7-8'!C8</f>
        <v>5176439</v>
      </c>
      <c r="C2555" s="2" t="s">
        <v>573</v>
      </c>
      <c r="D2555" s="2" t="str">
        <f t="shared" si="38"/>
        <v>Error?</v>
      </c>
    </row>
    <row r="2556" spans="1:4" x14ac:dyDescent="0.2">
      <c r="A2556" s="5">
        <v>2495</v>
      </c>
      <c r="B2556" s="138">
        <f>'Acct Summary 7-8'!C12</f>
        <v>3689228</v>
      </c>
      <c r="C2556" s="2" t="s">
        <v>573</v>
      </c>
      <c r="D2556" s="2" t="str">
        <f t="shared" si="38"/>
        <v>Error?</v>
      </c>
    </row>
    <row r="2557" spans="1:4" x14ac:dyDescent="0.2">
      <c r="A2557" s="5">
        <v>2496</v>
      </c>
      <c r="B2557" s="138">
        <f>'Acct Summary 7-8'!C13</f>
        <v>1409652</v>
      </c>
      <c r="C2557" s="2" t="s">
        <v>573</v>
      </c>
      <c r="D2557" s="2" t="str">
        <f t="shared" si="38"/>
        <v>Error?</v>
      </c>
    </row>
    <row r="2558" spans="1:4" x14ac:dyDescent="0.2">
      <c r="A2558" s="5">
        <v>2497</v>
      </c>
      <c r="B2558" s="138">
        <f>'Acct Summary 7-8'!C14</f>
        <v>1689</v>
      </c>
      <c r="C2558" s="2" t="s">
        <v>573</v>
      </c>
      <c r="D2558" s="2" t="str">
        <f t="shared" si="38"/>
        <v>Error?</v>
      </c>
    </row>
    <row r="2559" spans="1:4" x14ac:dyDescent="0.2">
      <c r="A2559" s="5">
        <v>2498</v>
      </c>
      <c r="B2559" s="138">
        <f>'Acct Summary 7-8'!C15</f>
        <v>154011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5254580</v>
      </c>
      <c r="C2561" s="2" t="s">
        <v>573</v>
      </c>
      <c r="D2561" s="2" t="str">
        <f t="shared" si="39"/>
        <v>Error?</v>
      </c>
    </row>
    <row r="2562" spans="1:4" x14ac:dyDescent="0.2">
      <c r="A2562" s="5">
        <v>2501</v>
      </c>
      <c r="B2562" s="138">
        <f>'Acct Summary 7-8'!C20</f>
        <v>-78141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626461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626461</v>
      </c>
      <c r="C2568" s="2" t="s">
        <v>573</v>
      </c>
      <c r="D2568" s="2" t="str">
        <f t="shared" si="39"/>
        <v>Error?</v>
      </c>
    </row>
    <row r="2569" spans="1:4" x14ac:dyDescent="0.2">
      <c r="A2569" s="5">
        <v>2508</v>
      </c>
      <c r="B2569" s="138">
        <f>'Acct Summary 7-8'!D13</f>
        <v>604291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604291</v>
      </c>
      <c r="C2573" s="2" t="s">
        <v>573</v>
      </c>
      <c r="D2573" s="2" t="str">
        <f t="shared" si="39"/>
        <v>Error?</v>
      </c>
    </row>
    <row r="2574" spans="1:4" x14ac:dyDescent="0.2">
      <c r="A2574" s="5">
        <v>2513</v>
      </c>
      <c r="B2574" s="138">
        <f>'Acct Summary 7-8'!D20</f>
        <v>22170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211032</v>
      </c>
      <c r="C2591" s="2" t="s">
        <v>573</v>
      </c>
      <c r="D2591" s="2" t="str">
        <f t="shared" si="39"/>
        <v>Error?</v>
      </c>
    </row>
    <row r="2592" spans="1:4" x14ac:dyDescent="0.2">
      <c r="A2592" s="10">
        <v>2531</v>
      </c>
      <c r="D2592" s="2" t="str">
        <f t="shared" si="39"/>
        <v>OK</v>
      </c>
    </row>
    <row r="2593" spans="1:4" x14ac:dyDescent="0.2">
      <c r="A2593" s="5">
        <v>2532</v>
      </c>
      <c r="B2593" s="138">
        <f>'Acct Summary 7-8'!F6</f>
        <v>260725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471757</v>
      </c>
      <c r="C2595" s="2" t="s">
        <v>573</v>
      </c>
      <c r="D2595" s="2" t="str">
        <f t="shared" si="39"/>
        <v>Error?</v>
      </c>
    </row>
    <row r="2596" spans="1:4" x14ac:dyDescent="0.2">
      <c r="A2596" s="5">
        <v>2535</v>
      </c>
      <c r="B2596" s="138">
        <f>'Acct Summary 7-8'!F13</f>
        <v>401362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27469</v>
      </c>
      <c r="C2599" s="2" t="s">
        <v>573</v>
      </c>
      <c r="D2599" s="2" t="str">
        <f t="shared" si="39"/>
        <v>Error?</v>
      </c>
    </row>
    <row r="2600" spans="1:4" x14ac:dyDescent="0.2">
      <c r="A2600" s="5">
        <v>2539</v>
      </c>
      <c r="B2600" s="138">
        <f>'Acct Summary 7-8'!F17</f>
        <v>428831</v>
      </c>
      <c r="C2600" s="2" t="s">
        <v>573</v>
      </c>
      <c r="D2600" s="2" t="str">
        <f t="shared" si="39"/>
        <v>Error?</v>
      </c>
    </row>
    <row r="2601" spans="1:4" x14ac:dyDescent="0.2">
      <c r="A2601" s="5">
        <v>2540</v>
      </c>
      <c r="B2601" s="138">
        <f>'Acct Summary 7-8'!F20</f>
        <v>42926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290068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290068</v>
      </c>
      <c r="C2606" s="2" t="s">
        <v>573</v>
      </c>
      <c r="D2606" s="2" t="str">
        <f t="shared" si="39"/>
        <v>Error?</v>
      </c>
    </row>
    <row r="2607" spans="1:4" x14ac:dyDescent="0.2">
      <c r="A2607" s="5">
        <v>2546</v>
      </c>
      <c r="B2607" s="138">
        <f>'Acct Summary 7-8'!G12</f>
        <v>81571</v>
      </c>
      <c r="C2607" s="2" t="s">
        <v>573</v>
      </c>
      <c r="D2607" s="2" t="str">
        <f t="shared" si="39"/>
        <v>Error?</v>
      </c>
    </row>
    <row r="2608" spans="1:4" x14ac:dyDescent="0.2">
      <c r="A2608" s="5">
        <v>2547</v>
      </c>
      <c r="B2608" s="138">
        <f>'Acct Summary 7-8'!G13</f>
        <v>173888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255459</v>
      </c>
      <c r="C2612" s="2" t="s">
        <v>573</v>
      </c>
      <c r="D2612" s="2" t="str">
        <f t="shared" si="39"/>
        <v>Error?</v>
      </c>
    </row>
    <row r="2613" spans="1:4" x14ac:dyDescent="0.2">
      <c r="A2613" s="5">
        <v>2552</v>
      </c>
      <c r="B2613" s="138">
        <f>'Acct Summary 7-8'!G20</f>
        <v>34609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314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68888</v>
      </c>
      <c r="C2789" s="2" t="s">
        <v>573</v>
      </c>
      <c r="D2789" s="2" t="str">
        <f t="shared" si="42"/>
        <v>Error?</v>
      </c>
    </row>
    <row r="2790" spans="1:4" x14ac:dyDescent="0.2">
      <c r="A2790" s="5">
        <v>2729</v>
      </c>
      <c r="B2790" s="138">
        <f>'Expenditures 15-22'!E102</f>
        <v>68888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1975018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88118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1975018</v>
      </c>
      <c r="D2912" s="2" t="str">
        <f t="shared" si="44"/>
        <v>Error?</v>
      </c>
    </row>
    <row r="2913" spans="1:4" x14ac:dyDescent="0.2">
      <c r="A2913" s="5">
        <v>2852</v>
      </c>
      <c r="B2913" s="138">
        <f>'Assets-Liab 5-6'!I41</f>
        <v>1975018</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88118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68888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10174</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10174</v>
      </c>
      <c r="C2973" s="2" t="s">
        <v>573</v>
      </c>
      <c r="D2973" s="2" t="str">
        <f t="shared" si="45"/>
        <v>Error?</v>
      </c>
    </row>
    <row r="2974" spans="1:4" x14ac:dyDescent="0.2">
      <c r="A2974" s="5">
        <v>2913</v>
      </c>
      <c r="B2974" s="138">
        <f>'Expenditures 15-22'!K79</f>
        <v>68888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120213</v>
      </c>
      <c r="D3055" s="2" t="str">
        <f t="shared" si="46"/>
        <v>Error?</v>
      </c>
    </row>
    <row r="3056" spans="1:4" x14ac:dyDescent="0.2">
      <c r="A3056" s="5">
        <v>2995</v>
      </c>
      <c r="B3056" s="138">
        <f>'Expenditures 15-22'!D10</f>
        <v>29358</v>
      </c>
      <c r="D3056" s="2" t="str">
        <f t="shared" si="46"/>
        <v>Error?</v>
      </c>
    </row>
    <row r="3057" spans="1:4" x14ac:dyDescent="0.2">
      <c r="A3057" s="5">
        <v>2996</v>
      </c>
      <c r="B3057" s="138">
        <f>'Expenditures 15-22'!E10</f>
        <v>700</v>
      </c>
      <c r="D3057" s="2" t="str">
        <f t="shared" si="46"/>
        <v>Error?</v>
      </c>
    </row>
    <row r="3058" spans="1:4" x14ac:dyDescent="0.2">
      <c r="A3058" s="5">
        <v>2997</v>
      </c>
      <c r="B3058" s="138">
        <f>'Expenditures 15-22'!F10</f>
        <v>403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150674</v>
      </c>
      <c r="C3062" s="2" t="s">
        <v>573</v>
      </c>
      <c r="D3062" s="2" t="str">
        <f t="shared" si="46"/>
        <v>Error?</v>
      </c>
    </row>
    <row r="3063" spans="1:4" x14ac:dyDescent="0.2">
      <c r="A3063" s="10">
        <v>3002</v>
      </c>
      <c r="D3063" s="2" t="str">
        <f t="shared" si="46"/>
        <v>OK</v>
      </c>
    </row>
    <row r="3064" spans="1:4" x14ac:dyDescent="0.2">
      <c r="A3064" s="5">
        <v>3003</v>
      </c>
      <c r="B3064" s="138">
        <f>'Expenditures 15-22'!D219</f>
        <v>1056</v>
      </c>
      <c r="D3064" s="2" t="str">
        <f t="shared" si="46"/>
        <v>Error?</v>
      </c>
    </row>
    <row r="3065" spans="1:4" x14ac:dyDescent="0.2">
      <c r="A3065" s="5">
        <v>3004</v>
      </c>
      <c r="B3065" s="138">
        <f>'Expenditures 15-22'!K219</f>
        <v>1056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88118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65692</v>
      </c>
      <c r="C3225" s="2" t="s">
        <v>573</v>
      </c>
      <c r="D3225" s="2" t="str">
        <f t="shared" si="49"/>
        <v>Error?</v>
      </c>
    </row>
    <row r="3226" spans="1:4" x14ac:dyDescent="0.2">
      <c r="A3226" s="5">
        <v>3165</v>
      </c>
      <c r="B3226" s="138">
        <f>'Acct Summary 7-8'!I8</f>
        <v>65692</v>
      </c>
      <c r="C3226" s="2" t="s">
        <v>573</v>
      </c>
      <c r="D3226" s="2" t="str">
        <f t="shared" si="49"/>
        <v>Error?</v>
      </c>
    </row>
    <row r="3227" spans="1:4" x14ac:dyDescent="0.2">
      <c r="A3227" s="5">
        <v>3166</v>
      </c>
      <c r="B3227" s="138">
        <f>'Acct Summary 7-8'!I20</f>
        <v>65692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-78141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22170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42926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34609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65692</v>
      </c>
      <c r="C3320" s="2" t="s">
        <v>573</v>
      </c>
      <c r="D3320" s="2" t="str">
        <f t="shared" si="50"/>
        <v>Error?</v>
      </c>
    </row>
    <row r="3321" spans="1:4" x14ac:dyDescent="0.2">
      <c r="A3321" s="5">
        <v>3260</v>
      </c>
      <c r="B3321" s="138">
        <f>'Acct Summary 7-8'!I79</f>
        <v>1909326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1975018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361427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63895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431040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29775</v>
      </c>
      <c r="D3387" s="2" t="str">
        <f t="shared" si="51"/>
        <v>Error?</v>
      </c>
    </row>
    <row r="3388" spans="1:4" x14ac:dyDescent="0.2">
      <c r="A3388" s="5">
        <v>3327</v>
      </c>
      <c r="B3388" s="138">
        <f>'Expenditures 15-22'!D217</f>
        <v>33108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29775</v>
      </c>
      <c r="C3390" s="2" t="s">
        <v>573</v>
      </c>
      <c r="D3390" s="2" t="str">
        <f t="shared" si="51"/>
        <v>Error?</v>
      </c>
    </row>
    <row r="3391" spans="1:4" x14ac:dyDescent="0.2">
      <c r="A3391" s="5">
        <v>3330</v>
      </c>
      <c r="B3391" s="138">
        <f>'Expenditures 15-22'!K217</f>
        <v>33108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949228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861155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314</v>
      </c>
      <c r="D3417" s="2" t="str">
        <f t="shared" si="52"/>
        <v>Error?</v>
      </c>
    </row>
    <row r="3418" spans="1:4" x14ac:dyDescent="0.2">
      <c r="A3418" s="10">
        <v>3357</v>
      </c>
      <c r="D3418" s="2" t="str">
        <f t="shared" si="52"/>
        <v>OK</v>
      </c>
    </row>
    <row r="3419" spans="1:4" x14ac:dyDescent="0.2">
      <c r="A3419" s="5">
        <v>3358</v>
      </c>
      <c r="B3419" s="138">
        <f>'Assets-Liab 5-6'!F4</f>
        <v>396446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243892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1975018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88118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142940</v>
      </c>
      <c r="C3446" s="2" t="s">
        <v>573</v>
      </c>
      <c r="D3446" s="2" t="str">
        <f t="shared" si="52"/>
        <v>Error?</v>
      </c>
    </row>
    <row r="3447" spans="1:4" x14ac:dyDescent="0.2">
      <c r="A3447" s="5">
        <v>3386</v>
      </c>
      <c r="B3447" s="138">
        <f>'Tax Sched 23'!D16</f>
        <v>142940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135009.19600140001</v>
      </c>
      <c r="C3449" s="2" t="s">
        <v>573</v>
      </c>
      <c r="D3449" s="2" t="str">
        <f t="shared" si="52"/>
        <v>Error?</v>
      </c>
    </row>
    <row r="3450" spans="1:4" x14ac:dyDescent="0.2">
      <c r="A3450" s="5">
        <v>3389</v>
      </c>
      <c r="B3450" s="138">
        <f>'Tax Sched 23'!E16</f>
        <v>135009.19600140001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5057</v>
      </c>
      <c r="D3484" s="2" t="str">
        <f t="shared" si="53"/>
        <v>Error?</v>
      </c>
    </row>
    <row r="3485" spans="1:4" x14ac:dyDescent="0.2">
      <c r="A3485" s="5">
        <v>3424</v>
      </c>
      <c r="B3485" s="138">
        <f>'Expenditures 15-22'!F125</f>
        <v>4648</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9705</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343880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343880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343880</v>
      </c>
      <c r="D3567" s="2" t="str">
        <f t="shared" si="54"/>
        <v>Error?</v>
      </c>
    </row>
    <row r="3568" spans="1:4" x14ac:dyDescent="0.2">
      <c r="A3568" s="5">
        <v>3507</v>
      </c>
      <c r="B3568" s="138">
        <f>'Assets-Liab 5-6'!K41</f>
        <v>343880</v>
      </c>
      <c r="C3568" s="2" t="s">
        <v>573</v>
      </c>
      <c r="D3568" s="2" t="str">
        <f t="shared" si="54"/>
        <v>Error?</v>
      </c>
    </row>
    <row r="3569" spans="1:4" x14ac:dyDescent="0.2">
      <c r="A3569" s="5">
        <v>3508</v>
      </c>
      <c r="B3569" s="138">
        <f>'Acct Summary 7-8'!K4</f>
        <v>58273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58273</v>
      </c>
      <c r="C3571" s="2" t="s">
        <v>573</v>
      </c>
      <c r="D3571" s="2" t="str">
        <f t="shared" si="54"/>
        <v>Error?</v>
      </c>
    </row>
    <row r="3572" spans="1:4" x14ac:dyDescent="0.2">
      <c r="A3572" s="5">
        <v>3511</v>
      </c>
      <c r="B3572" s="138">
        <f>'Acct Summary 7-8'!K13</f>
        <v>364764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364764</v>
      </c>
      <c r="C3575" s="2" t="s">
        <v>573</v>
      </c>
      <c r="D3575" s="2" t="str">
        <f t="shared" si="54"/>
        <v>Error?</v>
      </c>
    </row>
    <row r="3576" spans="1:4" x14ac:dyDescent="0.2">
      <c r="A3576" s="5">
        <v>3515</v>
      </c>
      <c r="B3576" s="138">
        <f>'Acct Summary 7-8'!K20</f>
        <v>-306491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-306491</v>
      </c>
      <c r="C3588" s="2" t="s">
        <v>573</v>
      </c>
      <c r="D3588" s="2" t="str">
        <f t="shared" si="55"/>
        <v>Error?</v>
      </c>
    </row>
    <row r="3589" spans="1:4" x14ac:dyDescent="0.2">
      <c r="A3589" s="5">
        <v>3528</v>
      </c>
      <c r="B3589" s="138">
        <f>'Acct Summary 7-8'!K79</f>
        <v>650371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343880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4776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4776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4776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359988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359988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359988</v>
      </c>
      <c r="C3649" s="2" t="s">
        <v>573</v>
      </c>
      <c r="D3649" s="2" t="str">
        <f t="shared" si="56"/>
        <v>Error?</v>
      </c>
    </row>
    <row r="3650" spans="1:4" x14ac:dyDescent="0.2">
      <c r="A3650" s="5">
        <v>3589</v>
      </c>
      <c r="B3650" s="138">
        <f>'Expenditures 15-22'!G367</f>
        <v>359988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364764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364764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364764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364764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-306491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51080</v>
      </c>
      <c r="C3725" s="2" t="s">
        <v>573</v>
      </c>
      <c r="D3725" s="2" t="str">
        <f t="shared" si="57"/>
        <v>Error?</v>
      </c>
    </row>
    <row r="3726" spans="1:4" x14ac:dyDescent="0.2">
      <c r="A3726" s="5">
        <v>3665</v>
      </c>
      <c r="B3726" s="138">
        <f>'Tax Sched 23'!D13</f>
        <v>51080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51542.031000000003</v>
      </c>
      <c r="C3728" s="2" t="s">
        <v>573</v>
      </c>
      <c r="D3728" s="2" t="str">
        <f t="shared" si="57"/>
        <v>Error?</v>
      </c>
    </row>
    <row r="3729" spans="1:4" x14ac:dyDescent="0.2">
      <c r="A3729" s="5">
        <v>3668</v>
      </c>
      <c r="B3729" s="138">
        <f>'Tax Sched 23'!E13</f>
        <v>51542.031000000003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2217724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7394163</v>
      </c>
      <c r="C4122" s="2" t="s">
        <v>573</v>
      </c>
      <c r="D4122" s="2" t="str">
        <f t="shared" si="63"/>
        <v>Error?</v>
      </c>
    </row>
    <row r="4123" spans="1:4" x14ac:dyDescent="0.2">
      <c r="A4123" s="5">
        <v>4062</v>
      </c>
      <c r="B4123" s="138">
        <f>'Acct Summary 7-8'!D10</f>
        <v>626461</v>
      </c>
      <c r="C4123" s="2" t="s">
        <v>573</v>
      </c>
      <c r="D4123" s="2" t="str">
        <f t="shared" si="63"/>
        <v>Error?</v>
      </c>
    </row>
    <row r="4124" spans="1:4" x14ac:dyDescent="0.2">
      <c r="A4124" s="5">
        <v>4063</v>
      </c>
      <c r="B4124" s="138">
        <f>'Acct Summary 7-8'!E10</f>
        <v>314</v>
      </c>
      <c r="C4124" s="2" t="s">
        <v>573</v>
      </c>
      <c r="D4124" s="2" t="str">
        <f t="shared" si="63"/>
        <v>Error?</v>
      </c>
    </row>
    <row r="4125" spans="1:4" x14ac:dyDescent="0.2">
      <c r="A4125" s="5">
        <v>4064</v>
      </c>
      <c r="B4125" s="138">
        <f>'Acct Summary 7-8'!F10</f>
        <v>471757</v>
      </c>
      <c r="C4125" s="2" t="s">
        <v>573</v>
      </c>
      <c r="D4125" s="2" t="str">
        <f t="shared" si="63"/>
        <v>Error?</v>
      </c>
    </row>
    <row r="4126" spans="1:4" x14ac:dyDescent="0.2">
      <c r="A4126" s="5">
        <v>4065</v>
      </c>
      <c r="B4126" s="138">
        <f>'Acct Summary 7-8'!G10</f>
        <v>290068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65692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58273</v>
      </c>
      <c r="C4130" s="2" t="s">
        <v>573</v>
      </c>
      <c r="D4130" s="2" t="str">
        <f t="shared" si="63"/>
        <v>Error?</v>
      </c>
    </row>
    <row r="4131" spans="1:4" x14ac:dyDescent="0.2">
      <c r="A4131" s="5">
        <v>4070</v>
      </c>
      <c r="B4131" s="138">
        <f>'Acct Summary 7-8'!C18</f>
        <v>2217724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7472304</v>
      </c>
      <c r="C4136" s="2" t="s">
        <v>573</v>
      </c>
      <c r="D4136" s="2" t="str">
        <f t="shared" si="63"/>
        <v>Error?</v>
      </c>
    </row>
    <row r="4137" spans="1:4" x14ac:dyDescent="0.2">
      <c r="A4137" s="5">
        <v>4076</v>
      </c>
      <c r="B4137" s="138">
        <f>'Acct Summary 7-8'!D19</f>
        <v>604291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428831</v>
      </c>
      <c r="C4139" s="2" t="s">
        <v>573</v>
      </c>
      <c r="D4139" s="2" t="str">
        <f t="shared" si="63"/>
        <v>Error?</v>
      </c>
    </row>
    <row r="4140" spans="1:4" x14ac:dyDescent="0.2">
      <c r="A4140" s="5">
        <v>4079</v>
      </c>
      <c r="B4140" s="138">
        <f>'Acct Summary 7-8'!G19</f>
        <v>255459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364764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101253</v>
      </c>
      <c r="C4171" s="2" t="s">
        <v>573</v>
      </c>
      <c r="D4171" s="2" t="str">
        <f t="shared" si="64"/>
        <v>Error?</v>
      </c>
    </row>
    <row r="4172" spans="1:4" x14ac:dyDescent="0.2">
      <c r="A4172" s="5">
        <v>4111</v>
      </c>
      <c r="B4172" s="138">
        <f>'Short-Term Long-Term Debt 24'!J49</f>
        <v>101253</v>
      </c>
      <c r="C4172" s="2" t="s">
        <v>573</v>
      </c>
      <c r="D4172" s="2" t="str">
        <f t="shared" si="64"/>
        <v>Error?</v>
      </c>
    </row>
    <row r="4173" spans="1:4" x14ac:dyDescent="0.2">
      <c r="A4173" s="5">
        <v>4112</v>
      </c>
      <c r="B4173" s="138">
        <f>'Short-Term Long-Term Debt 24'!H49</f>
        <v>22876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22876</v>
      </c>
      <c r="D4210" s="2" t="str">
        <f t="shared" si="64"/>
        <v>Error?</v>
      </c>
    </row>
    <row r="4211" spans="1:4" x14ac:dyDescent="0.2">
      <c r="A4211" s="5">
        <v>4150</v>
      </c>
      <c r="B4211" s="138">
        <f>'Expenditures 15-22'!K206</f>
        <v>22876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2880</v>
      </c>
      <c r="C4265" s="2" t="s">
        <v>573</v>
      </c>
      <c r="D4265" s="2" t="str">
        <f t="shared" si="65"/>
        <v>Error?</v>
      </c>
      <c r="E4265" s="128"/>
    </row>
    <row r="4266" spans="1:5" x14ac:dyDescent="0.2">
      <c r="A4266" s="12">
        <v>4205</v>
      </c>
      <c r="B4266" s="138">
        <f>('FP Info 3'!F10)*100000</f>
        <v>600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3680</v>
      </c>
      <c r="C4268" s="2" t="s">
        <v>573</v>
      </c>
      <c r="D4268" s="2" t="str">
        <f t="shared" si="65"/>
        <v>Error?</v>
      </c>
    </row>
    <row r="4269" spans="1:5" x14ac:dyDescent="0.2">
      <c r="A4269" s="12">
        <v>4208</v>
      </c>
      <c r="B4269" s="138">
        <f>'FP Info 3'!J16</f>
        <v>4181847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8465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45279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52321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52321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16113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23752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4921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103084062</v>
      </c>
      <c r="D4995" s="2" t="str">
        <f t="shared" si="77"/>
        <v>Error?</v>
      </c>
    </row>
    <row r="4996" spans="1:4" x14ac:dyDescent="0.2">
      <c r="A4996" s="12">
        <v>4935</v>
      </c>
      <c r="B4996" s="138">
        <f>'FP Info 3'!H31</f>
        <v>14225600.556000002</v>
      </c>
      <c r="D4996" s="2" t="str">
        <f t="shared" si="77"/>
        <v>Error?</v>
      </c>
    </row>
    <row r="4997" spans="1:4" x14ac:dyDescent="0.2">
      <c r="A4997" s="12">
        <v>4936</v>
      </c>
      <c r="B4997" s="138">
        <f>'FP Info 3'!H37</f>
        <v>101253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51080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2942239</v>
      </c>
      <c r="D5061" s="2" t="str">
        <f t="shared" si="78"/>
        <v>Error?</v>
      </c>
    </row>
    <row r="5062" spans="1:4" x14ac:dyDescent="0.2">
      <c r="A5062" s="10">
        <v>5001</v>
      </c>
      <c r="D5062" s="2" t="str">
        <f t="shared" si="78"/>
        <v>OK</v>
      </c>
    </row>
    <row r="5063" spans="1:4" x14ac:dyDescent="0.2">
      <c r="A5063" s="5">
        <v>5002</v>
      </c>
      <c r="B5063" s="138">
        <f>'Revenues 9-14'!C7</f>
        <v>40865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3034184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560871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560871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86648</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87548</v>
      </c>
      <c r="C5087" s="2" t="s">
        <v>573</v>
      </c>
      <c r="D5087" s="2" t="str">
        <f t="shared" si="78"/>
        <v>Error?</v>
      </c>
    </row>
    <row r="5088" spans="1:4" x14ac:dyDescent="0.2">
      <c r="A5088" s="5">
        <v>5027</v>
      </c>
      <c r="B5088" s="138">
        <f>'Revenues 9-14'!C65</f>
        <v>28668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28668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16270</v>
      </c>
      <c r="D5092" s="2" t="str">
        <f t="shared" si="78"/>
        <v>Error?</v>
      </c>
    </row>
    <row r="5093" spans="1:4" x14ac:dyDescent="0.2">
      <c r="A5093" s="5">
        <v>5032</v>
      </c>
      <c r="B5093" s="138">
        <f>'Revenues 9-14'!C72</f>
        <v>1406</v>
      </c>
      <c r="D5093" s="2" t="str">
        <f t="shared" si="78"/>
        <v>Error?</v>
      </c>
    </row>
    <row r="5094" spans="1:4" x14ac:dyDescent="0.2">
      <c r="A5094" s="5">
        <v>5033</v>
      </c>
      <c r="B5094" s="138">
        <f>'Revenues 9-14'!C73</f>
        <v>4734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70893</v>
      </c>
      <c r="C5096" s="2" t="s">
        <v>573</v>
      </c>
      <c r="D5096" s="2" t="str">
        <f t="shared" si="78"/>
        <v>Error?</v>
      </c>
    </row>
    <row r="5097" spans="1:4" x14ac:dyDescent="0.2">
      <c r="A5097" s="5">
        <v>5036</v>
      </c>
      <c r="B5097" s="138">
        <f>'Revenues 9-14'!C77</f>
        <v>10296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17578</v>
      </c>
      <c r="D5099" s="2" t="str">
        <f t="shared" si="78"/>
        <v>Error?</v>
      </c>
    </row>
    <row r="5100" spans="1:4" x14ac:dyDescent="0.2">
      <c r="A5100" s="5">
        <v>5039</v>
      </c>
      <c r="B5100" s="138">
        <f>'Revenues 9-14'!C80</f>
        <v>1894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29768</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24256</v>
      </c>
      <c r="D5114" s="2" t="str">
        <f t="shared" si="78"/>
        <v>Error?</v>
      </c>
    </row>
    <row r="5115" spans="1:4" x14ac:dyDescent="0.2">
      <c r="A5115" s="5">
        <v>5054</v>
      </c>
      <c r="B5115" s="138">
        <f>'Revenues 9-14'!C98</f>
        <v>22097</v>
      </c>
      <c r="D5115" s="2" t="str">
        <f t="shared" si="78"/>
        <v>Error?</v>
      </c>
    </row>
    <row r="5116" spans="1:4" x14ac:dyDescent="0.2">
      <c r="A5116" s="5">
        <v>5055</v>
      </c>
      <c r="B5116" s="138">
        <f>'Revenues 9-14'!C99</f>
        <v>13335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1043</v>
      </c>
      <c r="D5119" s="2" t="str">
        <f t="shared" ref="D5119:D5182" si="79">IF(ISBLANK(B5119),"OK",IF(A5119-B5119=0,"OK","Error?"))</f>
        <v>Error?</v>
      </c>
    </row>
    <row r="5120" spans="1:4" x14ac:dyDescent="0.2">
      <c r="A5120" s="5">
        <v>5059</v>
      </c>
      <c r="B5120" s="138">
        <f>'Revenues 9-14'!C108</f>
        <v>65652</v>
      </c>
      <c r="C5120" s="2" t="s">
        <v>573</v>
      </c>
      <c r="D5120" s="2" t="str">
        <f t="shared" si="79"/>
        <v>Error?</v>
      </c>
    </row>
    <row r="5121" spans="1:4" x14ac:dyDescent="0.2">
      <c r="A5121" s="5">
        <v>5060</v>
      </c>
      <c r="B5121" s="138">
        <f>'Revenues 9-14'!C109</f>
        <v>3877584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670806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670806</v>
      </c>
      <c r="C5132" s="2" t="s">
        <v>573</v>
      </c>
      <c r="D5132" s="2" t="str">
        <f t="shared" si="79"/>
        <v>Error?</v>
      </c>
    </row>
    <row r="5133" spans="1:4" x14ac:dyDescent="0.2">
      <c r="A5133" s="5">
        <v>5072</v>
      </c>
      <c r="B5133" s="138">
        <f>'Revenues 9-14'!C125</f>
        <v>27082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27082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4293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4293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2333</v>
      </c>
      <c r="D5167" s="2" t="str">
        <f t="shared" si="79"/>
        <v>Error?</v>
      </c>
    </row>
    <row r="5168" spans="1:4" x14ac:dyDescent="0.2">
      <c r="A5168" s="5">
        <v>5107</v>
      </c>
      <c r="B5168" s="138">
        <f>'Revenues 9-14'!C148</f>
        <v>9291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176141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219890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890696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98602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30312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128914</v>
      </c>
      <c r="C5246" s="2" t="s">
        <v>573</v>
      </c>
      <c r="D5246" s="2" t="str">
        <f t="shared" si="80"/>
        <v>Error?</v>
      </c>
    </row>
    <row r="5247" spans="1:4" x14ac:dyDescent="0.2">
      <c r="A5247" s="5">
        <v>5186</v>
      </c>
      <c r="B5247" s="138">
        <f>'Revenues 9-14'!C200</f>
        <v>133315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16113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133315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408159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408159</v>
      </c>
      <c r="C5326" s="2" t="s">
        <v>573</v>
      </c>
      <c r="D5326" s="2" t="str">
        <f t="shared" si="82"/>
        <v>Error?</v>
      </c>
    </row>
    <row r="5327" spans="1:5" x14ac:dyDescent="0.2">
      <c r="A5327" s="5">
        <v>5266</v>
      </c>
      <c r="B5327" s="138">
        <f>'Revenues 9-14'!C268</f>
        <v>5176439</v>
      </c>
      <c r="C5327" s="2" t="s">
        <v>573</v>
      </c>
      <c r="D5327" s="2" t="str">
        <f t="shared" si="82"/>
        <v>Error?</v>
      </c>
    </row>
    <row r="5328" spans="1:5" x14ac:dyDescent="0.2">
      <c r="A5328" s="5">
        <v>5267</v>
      </c>
      <c r="B5328" s="138">
        <f>'Revenues 9-14'!D5</f>
        <v>612966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612966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12592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12592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271</v>
      </c>
      <c r="D5354" s="2" t="str">
        <f t="shared" si="82"/>
        <v>Error?</v>
      </c>
    </row>
    <row r="5355" spans="1:4" x14ac:dyDescent="0.2">
      <c r="A5355" s="5">
        <v>5294</v>
      </c>
      <c r="B5355" s="138">
        <f>'Revenues 9-14'!D108</f>
        <v>903</v>
      </c>
      <c r="C5355" s="2" t="s">
        <v>573</v>
      </c>
      <c r="D5355" s="2" t="str">
        <f t="shared" si="82"/>
        <v>Error?</v>
      </c>
    </row>
    <row r="5356" spans="1:4" x14ac:dyDescent="0.2">
      <c r="A5356" s="5">
        <v>5295</v>
      </c>
      <c r="B5356" s="138">
        <f>'Revenues 9-14'!D109</f>
        <v>626461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626461</v>
      </c>
      <c r="C5508" s="2" t="s">
        <v>573</v>
      </c>
      <c r="D5508" s="2" t="str">
        <f t="shared" si="85"/>
        <v>Error?</v>
      </c>
    </row>
    <row r="5509" spans="1:4" x14ac:dyDescent="0.2">
      <c r="A5509" s="5">
        <v>5448</v>
      </c>
      <c r="B5509" s="138">
        <f>'Revenues 9-14'!E5</f>
        <v>278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314</v>
      </c>
      <c r="C5552" s="2" t="s">
        <v>573</v>
      </c>
      <c r="D5552" s="2" t="str">
        <f t="shared" si="85"/>
        <v>Error?</v>
      </c>
    </row>
    <row r="5553" spans="1:4" x14ac:dyDescent="0.2">
      <c r="A5553" s="5">
        <v>5492</v>
      </c>
      <c r="B5553" s="138">
        <f>'Revenues 9-14'!F5</f>
        <v>204323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204323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6709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6709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211032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173970</v>
      </c>
      <c r="D5615" s="2" t="str">
        <f t="shared" si="86"/>
        <v>Error?</v>
      </c>
    </row>
    <row r="5616" spans="1:4" x14ac:dyDescent="0.2">
      <c r="A5616" s="10">
        <v>5555</v>
      </c>
      <c r="D5616" s="2" t="str">
        <f t="shared" si="86"/>
        <v>OK</v>
      </c>
    </row>
    <row r="5617" spans="1:5" x14ac:dyDescent="0.2">
      <c r="A5617" s="5">
        <v>5556</v>
      </c>
      <c r="B5617" s="138">
        <f>'Revenues 9-14'!F153</f>
        <v>86755</v>
      </c>
      <c r="D5617" s="2" t="str">
        <f t="shared" si="86"/>
        <v>Error?</v>
      </c>
    </row>
    <row r="5618" spans="1:5" x14ac:dyDescent="0.2">
      <c r="A5618" s="5">
        <v>5557</v>
      </c>
      <c r="B5618" s="138">
        <f>'Revenues 9-14'!F155</f>
        <v>260725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260725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260725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471757</v>
      </c>
      <c r="C5720" s="2" t="s">
        <v>573</v>
      </c>
      <c r="D5720" s="2" t="str">
        <f t="shared" si="88"/>
        <v>Error?</v>
      </c>
    </row>
    <row r="5721" spans="1:4" x14ac:dyDescent="0.2">
      <c r="A5721" s="5">
        <v>5660</v>
      </c>
      <c r="B5721" s="138">
        <f>'Revenues 9-14'!G5</f>
        <v>142940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142940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285880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4188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290068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53765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53765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11927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11927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65692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51080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51080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7193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7193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58273</v>
      </c>
      <c r="C6023" s="2" t="s">
        <v>573</v>
      </c>
      <c r="D6023" s="2" t="str">
        <f t="shared" si="93"/>
        <v>Error?</v>
      </c>
    </row>
    <row r="6024" spans="1:5" x14ac:dyDescent="0.2">
      <c r="A6024" s="5">
        <v>5963</v>
      </c>
      <c r="B6024" s="138">
        <f>'Revenues 9-14'!G109</f>
        <v>290068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65692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58273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48483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16920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483.678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121813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121813</v>
      </c>
      <c r="D6215" s="2" t="str">
        <f t="shared" si="96"/>
        <v>Error?</v>
      </c>
      <c r="E6215" s="2" t="s">
        <v>190</v>
      </c>
    </row>
    <row r="6216" spans="1:5" x14ac:dyDescent="0.2">
      <c r="A6216">
        <v>6155</v>
      </c>
      <c r="B6216" s="138">
        <f>'Assets-Liab 5-6'!J41</f>
        <v>121813</v>
      </c>
      <c r="D6216" s="2" t="str">
        <f t="shared" si="96"/>
        <v>Error?</v>
      </c>
      <c r="E6216" s="2" t="s">
        <v>190</v>
      </c>
    </row>
    <row r="6217" spans="1:5" x14ac:dyDescent="0.2">
      <c r="A6217">
        <v>6156</v>
      </c>
      <c r="B6217" s="138">
        <f>'Assets-Liab 5-6'!J4</f>
        <v>121813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304116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304116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304116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300710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300710</v>
      </c>
      <c r="D6229" s="2" t="str">
        <f t="shared" si="96"/>
        <v>Error?</v>
      </c>
      <c r="E6229" s="2" t="s">
        <v>190</v>
      </c>
    </row>
    <row r="6230" spans="1:5" x14ac:dyDescent="0.2">
      <c r="A6230">
        <v>6169</v>
      </c>
      <c r="B6230" s="138">
        <f>'Acct Summary 7-8'!J20</f>
        <v>3406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3406</v>
      </c>
      <c r="D6263" s="2" t="str">
        <f t="shared" si="96"/>
        <v>Error?</v>
      </c>
      <c r="E6263" s="2" t="s">
        <v>190</v>
      </c>
    </row>
    <row r="6264" spans="1:5" x14ac:dyDescent="0.2">
      <c r="A6264">
        <v>6203</v>
      </c>
      <c r="B6264" s="138">
        <f>'Acct Summary 7-8'!J79</f>
        <v>118407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121813</v>
      </c>
      <c r="D6266" s="2" t="str">
        <f t="shared" si="96"/>
        <v>Error?</v>
      </c>
      <c r="E6266" s="2" t="s">
        <v>190</v>
      </c>
    </row>
    <row r="6267" spans="1:5" x14ac:dyDescent="0.2">
      <c r="A6267">
        <v>6206</v>
      </c>
      <c r="B6267" s="138">
        <f>'Acct Summary 7-8'!C82</f>
        <v>-78141</v>
      </c>
      <c r="D6267" s="2" t="str">
        <f t="shared" si="96"/>
        <v>Error?</v>
      </c>
      <c r="E6267" s="2" t="s">
        <v>190</v>
      </c>
    </row>
    <row r="6268" spans="1:5" x14ac:dyDescent="0.2">
      <c r="A6268">
        <v>6207</v>
      </c>
      <c r="B6268" s="138">
        <f>'Acct Summary 7-8'!D82</f>
        <v>22170</v>
      </c>
      <c r="D6268" s="2" t="str">
        <f t="shared" si="96"/>
        <v>Error?</v>
      </c>
      <c r="E6268" s="2" t="s">
        <v>190</v>
      </c>
    </row>
    <row r="6269" spans="1:5" x14ac:dyDescent="0.2">
      <c r="A6269">
        <v>6208</v>
      </c>
      <c r="B6269" s="138">
        <f>'Acct Summary 7-8'!E82</f>
        <v>314</v>
      </c>
      <c r="D6269" s="2" t="str">
        <f t="shared" si="96"/>
        <v>Error?</v>
      </c>
      <c r="E6269" s="2" t="s">
        <v>190</v>
      </c>
    </row>
    <row r="6270" spans="1:5" x14ac:dyDescent="0.2">
      <c r="A6270">
        <v>6209</v>
      </c>
      <c r="B6270" s="138">
        <f>'Acct Summary 7-8'!F82</f>
        <v>42926</v>
      </c>
      <c r="D6270" s="2" t="str">
        <f t="shared" si="96"/>
        <v>Error?</v>
      </c>
      <c r="E6270" s="2" t="s">
        <v>190</v>
      </c>
    </row>
    <row r="6271" spans="1:5" x14ac:dyDescent="0.2">
      <c r="A6271">
        <v>6210</v>
      </c>
      <c r="B6271" s="138">
        <f>'Acct Summary 7-8'!G82</f>
        <v>34609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65692</v>
      </c>
      <c r="D6273" s="2" t="str">
        <f t="shared" si="97"/>
        <v>Error?</v>
      </c>
      <c r="E6273" s="2" t="s">
        <v>190</v>
      </c>
    </row>
    <row r="6274" spans="1:5" x14ac:dyDescent="0.2">
      <c r="A6274">
        <v>6213</v>
      </c>
      <c r="B6274" s="138">
        <f>'Acct Summary 7-8'!J82</f>
        <v>3406</v>
      </c>
      <c r="D6274" s="2" t="str">
        <f t="shared" si="97"/>
        <v>Error?</v>
      </c>
      <c r="E6274" s="2" t="s">
        <v>190</v>
      </c>
    </row>
    <row r="6275" spans="1:5" x14ac:dyDescent="0.2">
      <c r="A6275">
        <v>6214</v>
      </c>
      <c r="B6275" s="138">
        <f>'Acct Summary 7-8'!K82</f>
        <v>-306491</v>
      </c>
      <c r="D6275" s="2" t="str">
        <f t="shared" si="97"/>
        <v>Error?</v>
      </c>
      <c r="E6275" s="2" t="s">
        <v>190</v>
      </c>
    </row>
    <row r="6276" spans="1:5" x14ac:dyDescent="0.2">
      <c r="A6276">
        <v>6215</v>
      </c>
      <c r="B6276" s="138">
        <f>'Acct Summary 7-8'!C83</f>
        <v>-8.2320580513849148E-2</v>
      </c>
      <c r="D6276" s="2" t="str">
        <f t="shared" si="97"/>
        <v>Error?</v>
      </c>
      <c r="E6276" s="2" t="s">
        <v>190</v>
      </c>
    </row>
    <row r="6277" spans="1:5" x14ac:dyDescent="0.2">
      <c r="A6277">
        <v>6216</v>
      </c>
      <c r="B6277" s="138">
        <f>'Acct Summary 7-8'!D83</f>
        <v>2.5744494312870507E-2</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0.10827704151385056</v>
      </c>
      <c r="D6279" s="2" t="str">
        <f t="shared" si="97"/>
        <v>Error?</v>
      </c>
      <c r="E6279" s="2" t="s">
        <v>190</v>
      </c>
    </row>
    <row r="6280" spans="1:5" x14ac:dyDescent="0.2">
      <c r="A6280">
        <v>6219</v>
      </c>
      <c r="B6280" s="138">
        <f>'Acct Summary 7-8'!G83</f>
        <v>0.14190297344726355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3.3261469009396367E-2</v>
      </c>
      <c r="D6282" s="2" t="str">
        <f t="shared" si="97"/>
        <v>Error?</v>
      </c>
      <c r="E6282" s="2" t="s">
        <v>190</v>
      </c>
    </row>
    <row r="6283" spans="1:5" x14ac:dyDescent="0.2">
      <c r="A6283">
        <v>6222</v>
      </c>
      <c r="B6283" s="138">
        <f>'Acct Summary 7-8'!J83</f>
        <v>2.7960890873716272E-2</v>
      </c>
      <c r="D6283" s="2" t="str">
        <f t="shared" si="97"/>
        <v>Error?</v>
      </c>
      <c r="E6283" s="2" t="s">
        <v>190</v>
      </c>
    </row>
    <row r="6284" spans="1:5" x14ac:dyDescent="0.2">
      <c r="A6284">
        <v>6223</v>
      </c>
      <c r="B6284" s="138">
        <f>'Acct Summary 7-8'!K83</f>
        <v>-0.89127311852971969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299856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299856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4260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4260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304116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130885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148198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31650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67919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151358</v>
      </c>
      <c r="D6880" s="2" t="str">
        <f t="shared" si="106"/>
        <v>Error?</v>
      </c>
    </row>
    <row r="6881" spans="1:4" x14ac:dyDescent="0.2">
      <c r="A6881">
        <v>6820</v>
      </c>
      <c r="B6881" s="138">
        <f>'Expenditures 15-22'!K22</f>
        <v>151358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4030</v>
      </c>
      <c r="D6981" s="2" t="str">
        <f t="shared" si="108"/>
        <v>Error?</v>
      </c>
    </row>
    <row r="6982" spans="1:4" x14ac:dyDescent="0.2">
      <c r="A6982">
        <v>6921</v>
      </c>
      <c r="B6982" s="138">
        <f>'Expenditures 15-22'!K85</f>
        <v>4030</v>
      </c>
      <c r="D6982" s="2" t="str">
        <f t="shared" si="108"/>
        <v>Error?</v>
      </c>
    </row>
    <row r="6983" spans="1:4" x14ac:dyDescent="0.2">
      <c r="A6983">
        <v>6922</v>
      </c>
      <c r="B6983" s="138">
        <f>'Expenditures 15-22'!H86</f>
        <v>50669</v>
      </c>
      <c r="D6983" s="2" t="str">
        <f t="shared" si="108"/>
        <v>Error?</v>
      </c>
    </row>
    <row r="6984" spans="1:4" x14ac:dyDescent="0.2">
      <c r="A6984">
        <v>6923</v>
      </c>
      <c r="B6984" s="138">
        <f>'Expenditures 15-22'!K86</f>
        <v>50669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20250</v>
      </c>
      <c r="D6987" s="2" t="str">
        <f t="shared" si="108"/>
        <v>Error?</v>
      </c>
    </row>
    <row r="6988" spans="1:4" x14ac:dyDescent="0.2">
      <c r="A6988">
        <v>6927</v>
      </c>
      <c r="B6988" s="138">
        <f>'Expenditures 15-22'!K88</f>
        <v>20250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74949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300710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304116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4593</v>
      </c>
      <c r="D7067" s="2" t="str">
        <f t="shared" si="109"/>
        <v>Error?</v>
      </c>
    </row>
    <row r="7068" spans="1:4" x14ac:dyDescent="0.2">
      <c r="A7068">
        <v>7007</v>
      </c>
      <c r="B7068" s="138">
        <f>'Expenditures 15-22'!K205</f>
        <v>4593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7946</v>
      </c>
      <c r="D7073" s="2" t="str">
        <f t="shared" si="109"/>
        <v>Error?</v>
      </c>
    </row>
    <row r="7074" spans="1:4" x14ac:dyDescent="0.2">
      <c r="A7074">
        <v>7013</v>
      </c>
      <c r="B7074" s="138">
        <f>'Expenditures 15-22'!K216</f>
        <v>7946</v>
      </c>
      <c r="D7074" s="2" t="str">
        <f t="shared" si="109"/>
        <v>Error?</v>
      </c>
    </row>
    <row r="7075" spans="1:4" x14ac:dyDescent="0.2">
      <c r="A7075">
        <v>7014</v>
      </c>
      <c r="B7075" s="138">
        <f>'Expenditures 15-22'!D218</f>
        <v>2011</v>
      </c>
      <c r="D7075" s="2" t="str">
        <f t="shared" si="109"/>
        <v>Error?</v>
      </c>
    </row>
    <row r="7076" spans="1:4" x14ac:dyDescent="0.2">
      <c r="A7076">
        <v>7015</v>
      </c>
      <c r="B7076" s="138">
        <f>'Expenditures 15-22'!K218</f>
        <v>2011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837</v>
      </c>
      <c r="D7079" s="2" t="str">
        <f t="shared" si="109"/>
        <v>Error?</v>
      </c>
    </row>
    <row r="7080" spans="1:4" x14ac:dyDescent="0.2">
      <c r="A7080">
        <v>7019</v>
      </c>
      <c r="B7080" s="138">
        <f>'Expenditures 15-22'!K226</f>
        <v>837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43800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43800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19071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19071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155101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23678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178779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24491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24491</v>
      </c>
      <c r="D7198" s="2" t="str">
        <f t="shared" si="111"/>
        <v>Error?</v>
      </c>
    </row>
    <row r="7199" spans="1:4" x14ac:dyDescent="0.2">
      <c r="A7199">
        <v>7138</v>
      </c>
      <c r="B7199" s="138">
        <f>'Expenditures 15-22'!C330</f>
        <v>155101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145609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300710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155101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145609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300710</v>
      </c>
      <c r="D7224" s="2" t="str">
        <f t="shared" si="111"/>
        <v>Error?</v>
      </c>
    </row>
    <row r="7225" spans="1:4" x14ac:dyDescent="0.2">
      <c r="A7225">
        <v>7164</v>
      </c>
      <c r="B7225" s="138">
        <f>'Expenditures 15-22'!K343</f>
        <v>3406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10561</v>
      </c>
      <c r="D7246" s="2" t="str">
        <f t="shared" si="112"/>
        <v>Error?</v>
      </c>
    </row>
    <row r="7247" spans="1:4" x14ac:dyDescent="0.2">
      <c r="A7247">
        <f t="shared" si="113"/>
        <v>7186</v>
      </c>
      <c r="B7247" s="138">
        <f>'Expenditures 15-22'!E7</f>
        <v>2128</v>
      </c>
      <c r="D7247" s="2" t="str">
        <f t="shared" si="112"/>
        <v>Error?</v>
      </c>
    </row>
    <row r="7248" spans="1:4" x14ac:dyDescent="0.2">
      <c r="A7248">
        <f t="shared" si="113"/>
        <v>7187</v>
      </c>
      <c r="B7248" s="138">
        <f>'Expenditures 15-22'!F7</f>
        <v>4624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30915</v>
      </c>
      <c r="D7251" s="2" t="str">
        <f t="shared" si="112"/>
        <v>Error?</v>
      </c>
    </row>
    <row r="7252" spans="1:4" x14ac:dyDescent="0.2">
      <c r="A7252">
        <f t="shared" si="113"/>
        <v>7191</v>
      </c>
      <c r="B7252" s="138">
        <f>'Expenditures 15-22'!D9</f>
        <v>687</v>
      </c>
      <c r="D7252" s="2" t="str">
        <f t="shared" si="112"/>
        <v>Error?</v>
      </c>
    </row>
    <row r="7253" spans="1:4" x14ac:dyDescent="0.2">
      <c r="A7253">
        <f t="shared" si="113"/>
        <v>7192</v>
      </c>
      <c r="B7253" s="138">
        <f>'Expenditures 15-22'!E9</f>
        <v>48</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66025</v>
      </c>
      <c r="D7263" s="2" t="str">
        <f t="shared" si="112"/>
        <v>Error?</v>
      </c>
    </row>
    <row r="7264" spans="1:4" x14ac:dyDescent="0.2">
      <c r="A7264">
        <f t="shared" si="113"/>
        <v>7203</v>
      </c>
      <c r="B7264" s="138">
        <f>'Expenditures 15-22'!D17</f>
        <v>1894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445863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445863</v>
      </c>
      <c r="D7618" s="2" t="str">
        <f t="shared" si="124"/>
        <v>Error?</v>
      </c>
      <c r="E7618" s="2" t="s">
        <v>19</v>
      </c>
    </row>
    <row r="7619" spans="1:5" x14ac:dyDescent="0.2">
      <c r="A7619">
        <f t="shared" si="123"/>
        <v>7558</v>
      </c>
      <c r="B7619" s="138">
        <f>'Cap Outlay Deprec 26'!H14</f>
        <v>445863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445863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332831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22112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22112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12457</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12457</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9291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9291</v>
      </c>
      <c r="D7719" s="2" t="str">
        <f t="shared" si="126"/>
        <v>Error?</v>
      </c>
      <c r="E7719" s="2" t="s">
        <v>827</v>
      </c>
    </row>
    <row r="7720" spans="1:6" x14ac:dyDescent="0.2">
      <c r="A7720">
        <v>7659</v>
      </c>
      <c r="B7720" s="138">
        <f>'Rest Tax Levies-Tort Im 25'!H14</f>
        <v>40865</v>
      </c>
      <c r="D7720" s="2" t="str">
        <f t="shared" si="126"/>
        <v>Error?</v>
      </c>
      <c r="E7720" s="2" t="s">
        <v>827</v>
      </c>
    </row>
    <row r="7721" spans="1:6" x14ac:dyDescent="0.2">
      <c r="A7721">
        <v>7660</v>
      </c>
      <c r="B7721" s="138">
        <f>'Rest Tax Levies-Tort Im 25'!K14</f>
        <v>9291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29'!D39</f>
        <v>58502</v>
      </c>
      <c r="D7797" s="2" t="str">
        <f t="shared" si="127"/>
        <v>Error?</v>
      </c>
      <c r="E7797" s="4" t="s">
        <v>1903</v>
      </c>
    </row>
    <row r="7798" spans="1:5" x14ac:dyDescent="0.2">
      <c r="A7798">
        <v>7737</v>
      </c>
      <c r="B7798" s="138">
        <f>'Contracts Paid in CY 29'!F39</f>
        <v>41457</v>
      </c>
      <c r="D7798" s="2" t="str">
        <f t="shared" si="127"/>
        <v>Error?</v>
      </c>
      <c r="E7798" s="4" t="s">
        <v>1903</v>
      </c>
    </row>
    <row r="7799" spans="1:5" x14ac:dyDescent="0.2">
      <c r="A7799">
        <v>7738</v>
      </c>
      <c r="B7799" s="138">
        <f>'Contracts Paid in CY 29'!G39</f>
        <v>4445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7" t="s">
        <v>1190</v>
      </c>
      <c r="B3" s="2407"/>
      <c r="C3" s="2407"/>
      <c r="D3" s="2407"/>
      <c r="E3" s="2407"/>
      <c r="F3" s="2407"/>
      <c r="G3" s="2407"/>
      <c r="H3" s="2407"/>
      <c r="I3" s="2407"/>
      <c r="J3" s="2407"/>
      <c r="K3" s="2407"/>
      <c r="L3" s="2407"/>
    </row>
    <row r="4" spans="1:29" ht="13.5" customHeight="1" x14ac:dyDescent="0.2">
      <c r="A4" s="2376" t="s">
        <v>1988</v>
      </c>
      <c r="B4" s="2397"/>
      <c r="C4" s="2397"/>
      <c r="D4" s="2397"/>
      <c r="E4" s="2397"/>
      <c r="F4" s="2397"/>
      <c r="G4" s="2397"/>
      <c r="H4" s="2397"/>
      <c r="I4" s="2397"/>
      <c r="J4" s="2397"/>
      <c r="K4" s="2397"/>
      <c r="L4" s="239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8" t="str">
        <f>COVER!A17</f>
        <v>Henry-Senachwine CUSD 5</v>
      </c>
      <c r="B7" s="2399"/>
      <c r="C7" s="2399"/>
      <c r="D7" s="2400"/>
      <c r="E7" s="2401">
        <f>COVER!A13</f>
        <v>35059005026</v>
      </c>
      <c r="F7" s="2402"/>
      <c r="G7" s="2408" t="str">
        <f>COVER!T23</f>
        <v>066-004501</v>
      </c>
      <c r="H7" s="2409"/>
      <c r="I7" s="2409"/>
      <c r="J7" s="2409"/>
      <c r="K7" s="2409"/>
      <c r="L7" s="241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1"/>
      <c r="B9" s="2412"/>
      <c r="C9" s="2412"/>
      <c r="D9" s="2412"/>
      <c r="E9" s="2412"/>
      <c r="F9" s="2413"/>
      <c r="G9" s="2382" t="str">
        <f>COVER!T13</f>
        <v>Hopkins &amp; Associates, CPAs</v>
      </c>
      <c r="H9" s="2414"/>
      <c r="I9" s="2414"/>
      <c r="J9" s="2414"/>
      <c r="K9" s="2414"/>
      <c r="L9" s="2415"/>
    </row>
    <row r="10" spans="1:29" ht="13.5" customHeight="1" x14ac:dyDescent="0.2">
      <c r="A10" s="2388" t="str">
        <f>COVER!A38</f>
        <v>Michael S. Miller</v>
      </c>
      <c r="B10" s="2389"/>
      <c r="C10" s="2389"/>
      <c r="D10" s="2389"/>
      <c r="E10" s="2389"/>
      <c r="F10" s="2390"/>
      <c r="G10" s="2382" t="str">
        <f>COVER!T17</f>
        <v>314 S McCoy St</v>
      </c>
      <c r="H10" s="2383"/>
      <c r="I10" s="2383"/>
      <c r="J10" s="2383"/>
      <c r="K10" s="2383"/>
      <c r="L10" s="2384"/>
    </row>
    <row r="11" spans="1:29" ht="13.5" customHeight="1" x14ac:dyDescent="0.2">
      <c r="A11" s="1184" t="s">
        <v>1519</v>
      </c>
      <c r="B11" s="1185"/>
      <c r="C11" s="1186"/>
      <c r="D11" s="1191"/>
      <c r="E11" s="1186"/>
      <c r="F11" s="1190"/>
      <c r="G11" s="2382" t="str">
        <f>COVER!T19</f>
        <v>Granville</v>
      </c>
      <c r="H11" s="2383"/>
      <c r="I11" s="2383"/>
      <c r="J11" s="2383"/>
      <c r="K11" s="2383"/>
      <c r="L11" s="2384"/>
    </row>
    <row r="12" spans="1:29" ht="13.5" customHeight="1" x14ac:dyDescent="0.2">
      <c r="A12" s="2391" t="s">
        <v>1518</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1520</v>
      </c>
      <c r="H13" s="2378"/>
      <c r="I13" s="2394" t="str">
        <f>COVER!T25</f>
        <v>kim@hopkinsoffice.com</v>
      </c>
      <c r="J13" s="2395"/>
      <c r="K13" s="2395"/>
      <c r="L13" s="2396"/>
    </row>
    <row r="14" spans="1:29" ht="13.5" customHeight="1" x14ac:dyDescent="0.2">
      <c r="A14" s="2382" t="str">
        <f>COVER!A19</f>
        <v>1023 College</v>
      </c>
      <c r="B14" s="2383"/>
      <c r="C14" s="2383"/>
      <c r="D14" s="2383"/>
      <c r="E14" s="2383"/>
      <c r="F14" s="2384"/>
      <c r="G14" s="1195" t="s">
        <v>1185</v>
      </c>
      <c r="H14" s="1193"/>
      <c r="I14" s="1193"/>
      <c r="J14" s="1193"/>
      <c r="K14" s="1193"/>
      <c r="L14" s="1194"/>
    </row>
    <row r="15" spans="1:29" ht="13.5" customHeight="1" x14ac:dyDescent="0.2">
      <c r="A15" s="2382" t="str">
        <f>COVER!A21</f>
        <v xml:space="preserve">Henry  </v>
      </c>
      <c r="B15" s="2383"/>
      <c r="C15" s="2383"/>
      <c r="D15" s="2383"/>
      <c r="E15" s="2383"/>
      <c r="F15" s="2384"/>
      <c r="G15" s="2379" t="str">
        <f>COVER!T15</f>
        <v>Kim Bird</v>
      </c>
      <c r="H15" s="2380"/>
      <c r="I15" s="2380"/>
      <c r="J15" s="2380"/>
      <c r="K15" s="2380"/>
      <c r="L15" s="2381"/>
    </row>
    <row r="16" spans="1:29" ht="12.2" customHeight="1" x14ac:dyDescent="0.2">
      <c r="A16" s="2404">
        <f>COVER!A25</f>
        <v>61537</v>
      </c>
      <c r="B16" s="2405"/>
      <c r="C16" s="2405"/>
      <c r="D16" s="2405"/>
      <c r="E16" s="2405"/>
      <c r="F16" s="2406"/>
      <c r="G16" s="2416"/>
      <c r="H16" s="2417"/>
      <c r="I16" s="2417"/>
      <c r="J16" s="2417"/>
      <c r="K16" s="2417"/>
      <c r="L16" s="2418"/>
    </row>
    <row r="17" spans="1:13" ht="12.2" customHeight="1" x14ac:dyDescent="0.2">
      <c r="A17" s="2419"/>
      <c r="B17" s="2405"/>
      <c r="C17" s="2405"/>
      <c r="D17" s="2405"/>
      <c r="E17" s="2405"/>
      <c r="F17" s="2406"/>
      <c r="G17" s="1195" t="s">
        <v>1184</v>
      </c>
      <c r="H17" s="1193"/>
      <c r="I17" s="1193"/>
      <c r="J17" s="1193"/>
      <c r="K17" s="1197" t="s">
        <v>1183</v>
      </c>
      <c r="L17" s="1190"/>
      <c r="M17" s="1183"/>
    </row>
    <row r="18" spans="1:13" ht="12.2" customHeight="1" x14ac:dyDescent="0.2">
      <c r="A18" s="2388"/>
      <c r="B18" s="2389"/>
      <c r="C18" s="2389"/>
      <c r="D18" s="2389"/>
      <c r="E18" s="2389"/>
      <c r="F18" s="2390"/>
      <c r="G18" s="2398" t="str">
        <f>COVER!T21</f>
        <v>815-339-6630</v>
      </c>
      <c r="H18" s="2399"/>
      <c r="I18" s="2399"/>
      <c r="J18" s="2399"/>
      <c r="K18" s="2398" t="str">
        <f>COVER!X21</f>
        <v>815-339-6643</v>
      </c>
      <c r="L18" s="240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0" t="str">
        <f>'Single Audit Cover'!A7</f>
        <v>Henry-Senachwine CUSD 5</v>
      </c>
      <c r="B1" s="2397"/>
      <c r="C1" s="2397"/>
      <c r="D1" s="2397"/>
    </row>
    <row r="2" spans="1:11" s="1212" customFormat="1" ht="12.75" x14ac:dyDescent="0.2">
      <c r="A2" s="2421">
        <f>'Single Audit Cover'!E7</f>
        <v>35059005026</v>
      </c>
      <c r="B2" s="2422"/>
      <c r="C2" s="2422"/>
      <c r="D2" s="2422"/>
    </row>
    <row r="3" spans="1:11" s="1212" customFormat="1" ht="12.75" x14ac:dyDescent="0.2">
      <c r="A3" s="2420" t="s">
        <v>1513</v>
      </c>
      <c r="B3" s="2397"/>
      <c r="C3" s="2397"/>
      <c r="D3" s="239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4" t="str">
        <f>'Single Audit Cover'!A7</f>
        <v>Henry-Senachwine CUSD 5</v>
      </c>
      <c r="B1" s="2424"/>
      <c r="C1" s="2424"/>
      <c r="D1" s="2424"/>
      <c r="E1" s="2424"/>
    </row>
    <row r="2" spans="1:5" x14ac:dyDescent="0.2">
      <c r="A2" s="2425">
        <f>'Single Audit Cover'!E7</f>
        <v>35059005026</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57" t="s">
        <v>1243</v>
      </c>
    </row>
    <row r="10" spans="1:5" x14ac:dyDescent="0.2">
      <c r="A10" s="1258" t="s">
        <v>1242</v>
      </c>
      <c r="B10" s="1259" t="s">
        <v>1241</v>
      </c>
      <c r="C10" s="1259"/>
      <c r="D10" s="1260">
        <f>SUM('Acct Summary 7-8'!C7:K7)</f>
        <v>408159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16920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-45279</v>
      </c>
    </row>
    <row r="19" spans="1:4" ht="13.5" thickBot="1" x14ac:dyDescent="0.25">
      <c r="A19" s="1262" t="s">
        <v>1235</v>
      </c>
      <c r="D19" s="1263">
        <f>SUM(D10:D17)</f>
        <v>379800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6"/>
      <c r="B24" s="2426"/>
      <c r="D24" s="1265"/>
    </row>
    <row r="25" spans="1:4" x14ac:dyDescent="0.2">
      <c r="A25" s="2423"/>
      <c r="B25" s="2423"/>
      <c r="D25" s="1265"/>
    </row>
    <row r="26" spans="1:4" x14ac:dyDescent="0.2">
      <c r="A26" s="2423"/>
      <c r="B26" s="2423"/>
      <c r="D26" s="1265"/>
    </row>
    <row r="27" spans="1:4" x14ac:dyDescent="0.2">
      <c r="A27" s="2423"/>
      <c r="B27" s="2423"/>
      <c r="D27" s="1265"/>
    </row>
    <row r="28" spans="1:4" x14ac:dyDescent="0.2">
      <c r="A28" s="2423"/>
      <c r="B28" s="2423"/>
      <c r="D28" s="1265"/>
    </row>
    <row r="29" spans="1:4" x14ac:dyDescent="0.2">
      <c r="A29" s="2423"/>
      <c r="B29" s="2423"/>
      <c r="D29" s="1265"/>
    </row>
    <row r="30" spans="1:4" x14ac:dyDescent="0.2">
      <c r="A30" s="2423"/>
      <c r="B30" s="2423"/>
      <c r="D30" s="1265"/>
    </row>
    <row r="32" spans="1:4" x14ac:dyDescent="0.2">
      <c r="A32" s="1257" t="s">
        <v>1233</v>
      </c>
      <c r="D32" s="1260">
        <f>SUM(D19:D30)</f>
        <v>379800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3"/>
      <c r="B40" s="2423"/>
      <c r="D40" s="1265"/>
    </row>
    <row r="41" spans="1:4" x14ac:dyDescent="0.2">
      <c r="A41" s="2423"/>
      <c r="B41" s="2423"/>
      <c r="D41" s="1268"/>
    </row>
    <row r="42" spans="1:4" x14ac:dyDescent="0.2">
      <c r="A42" s="2423"/>
      <c r="B42" s="2423"/>
      <c r="D42" s="1268"/>
    </row>
    <row r="43" spans="1:4" x14ac:dyDescent="0.2">
      <c r="A43" s="2423"/>
      <c r="B43" s="2423"/>
      <c r="D43" s="1268"/>
    </row>
    <row r="44" spans="1:4" x14ac:dyDescent="0.2">
      <c r="A44" s="2423"/>
      <c r="B44" s="2423"/>
      <c r="D44" s="1268"/>
    </row>
    <row r="45" spans="1:4" x14ac:dyDescent="0.2">
      <c r="A45" s="2423"/>
      <c r="B45" s="2423"/>
      <c r="D45" s="1268"/>
    </row>
    <row r="47" spans="1:4" x14ac:dyDescent="0.2">
      <c r="B47" s="1269" t="s">
        <v>1227</v>
      </c>
      <c r="C47" s="1269"/>
      <c r="D47" s="1270">
        <f>SUM(D35:D45)</f>
        <v>0</v>
      </c>
    </row>
    <row r="49" spans="2:4" x14ac:dyDescent="0.2">
      <c r="B49" s="1269" t="s">
        <v>1226</v>
      </c>
      <c r="C49" s="1269"/>
      <c r="D49" s="1270">
        <f>D32-D47</f>
        <v>379800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Henry-Senachwine CUSD 5</v>
      </c>
      <c r="C1" s="2428"/>
      <c r="D1" s="2428"/>
      <c r="E1" s="2428"/>
      <c r="F1" s="2428"/>
      <c r="G1" s="2428"/>
      <c r="H1" s="2428"/>
      <c r="I1" s="2428"/>
      <c r="J1" s="2428"/>
      <c r="K1" s="2428"/>
      <c r="L1" s="2428"/>
      <c r="M1" s="2428"/>
    </row>
    <row r="2" spans="2:14" ht="15" x14ac:dyDescent="0.2">
      <c r="B2" s="2429">
        <f>'Single Audit Cover'!E7</f>
        <v>35059005026</v>
      </c>
      <c r="C2" s="2429"/>
      <c r="D2" s="2429"/>
      <c r="E2" s="2429"/>
      <c r="F2" s="2429"/>
      <c r="G2" s="2429"/>
      <c r="H2" s="2429"/>
      <c r="I2" s="2429"/>
      <c r="J2" s="2429"/>
      <c r="K2" s="2429"/>
      <c r="L2" s="2429"/>
      <c r="M2" s="2429"/>
      <c r="N2" s="1299"/>
    </row>
    <row r="3" spans="2:14" ht="15" x14ac:dyDescent="0.2">
      <c r="B3" s="2430" t="s">
        <v>1219</v>
      </c>
      <c r="C3" s="2430"/>
      <c r="D3" s="2430"/>
      <c r="E3" s="2430"/>
      <c r="F3" s="2430"/>
      <c r="G3" s="2430"/>
      <c r="H3" s="2430"/>
      <c r="I3" s="2430"/>
      <c r="J3" s="2430"/>
      <c r="K3" s="2430"/>
      <c r="L3" s="2430"/>
      <c r="M3" s="2430"/>
      <c r="N3" s="1299"/>
    </row>
    <row r="4" spans="2:14" ht="15" x14ac:dyDescent="0.2">
      <c r="B4" s="2431" t="str">
        <f>'Single Audit Cover'!A4</f>
        <v>Year Ending June 30, 2019</v>
      </c>
      <c r="C4" s="2431"/>
      <c r="D4" s="2431"/>
      <c r="E4" s="2431"/>
      <c r="F4" s="2431"/>
      <c r="G4" s="2431"/>
      <c r="H4" s="2431"/>
      <c r="I4" s="2431"/>
      <c r="J4" s="2431"/>
      <c r="K4" s="2431"/>
      <c r="L4" s="2431"/>
      <c r="M4" s="243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Henry-Senachwine CUSD 5</v>
      </c>
      <c r="B1" s="2441"/>
      <c r="C1" s="2441"/>
      <c r="D1" s="2441"/>
      <c r="E1" s="2441"/>
      <c r="F1" s="2441"/>
    </row>
    <row r="2" spans="1:7" ht="13.5" customHeight="1" x14ac:dyDescent="0.2">
      <c r="A2" s="2429">
        <f>'Single Audit Cover'!E7</f>
        <v>35059005026</v>
      </c>
      <c r="B2" s="2429"/>
      <c r="C2" s="2429"/>
      <c r="D2" s="2429"/>
      <c r="E2" s="2429"/>
      <c r="F2" s="2429"/>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1729</v>
      </c>
      <c r="B7" s="2440"/>
      <c r="C7" s="2440"/>
      <c r="D7" s="2440"/>
      <c r="E7" s="2440"/>
      <c r="F7" s="244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0" t="s">
        <v>1731</v>
      </c>
      <c r="B13" s="2440"/>
      <c r="C13" s="2440"/>
      <c r="D13" s="2440"/>
      <c r="E13" s="2440"/>
      <c r="F13" s="2440"/>
    </row>
    <row r="14" spans="1:7" ht="9.75" customHeight="1" x14ac:dyDescent="0.2">
      <c r="C14" s="1257"/>
      <c r="D14" s="1257"/>
    </row>
    <row r="15" spans="1:7" ht="13.5" customHeight="1" x14ac:dyDescent="0.2">
      <c r="C15" s="1843" t="s">
        <v>1270</v>
      </c>
      <c r="D15" s="2438" t="s">
        <v>1269</v>
      </c>
      <c r="E15" s="2438"/>
      <c r="F15" s="2438"/>
    </row>
    <row r="16" spans="1:7" ht="13.5" customHeight="1" x14ac:dyDescent="0.2">
      <c r="A16" s="1279"/>
      <c r="B16" s="1273" t="s">
        <v>1268</v>
      </c>
      <c r="C16" s="1843" t="s">
        <v>1267</v>
      </c>
      <c r="D16" s="2439" t="s">
        <v>1588</v>
      </c>
      <c r="E16" s="2439"/>
      <c r="F16" s="2439"/>
    </row>
    <row r="17" spans="1:6" ht="20.45" customHeight="1" x14ac:dyDescent="0.2">
      <c r="A17" s="1280"/>
      <c r="B17" s="1281"/>
      <c r="C17" s="1282"/>
      <c r="D17" s="2433"/>
      <c r="E17" s="2433"/>
      <c r="F17" s="2433"/>
    </row>
    <row r="18" spans="1:6" ht="20.65" customHeight="1" x14ac:dyDescent="0.2">
      <c r="A18" s="1280"/>
      <c r="B18" s="1281"/>
      <c r="C18" s="1282"/>
      <c r="D18" s="2433"/>
      <c r="E18" s="2433"/>
      <c r="F18" s="2433"/>
    </row>
    <row r="19" spans="1:6" ht="20.65" customHeight="1" x14ac:dyDescent="0.2">
      <c r="A19" s="1280"/>
      <c r="B19" s="1281"/>
      <c r="C19" s="1282"/>
      <c r="D19" s="2433"/>
      <c r="E19" s="2433"/>
      <c r="F19" s="2433"/>
    </row>
    <row r="20" spans="1:6" ht="20.65" customHeight="1" x14ac:dyDescent="0.2">
      <c r="A20" s="1280"/>
      <c r="B20" s="1281"/>
      <c r="C20" s="1282"/>
      <c r="D20" s="2433"/>
      <c r="E20" s="2433"/>
      <c r="F20" s="2433"/>
    </row>
    <row r="21" spans="1:6" ht="20.65" customHeight="1" x14ac:dyDescent="0.2">
      <c r="A21" s="1280"/>
      <c r="B21" s="1281"/>
      <c r="C21" s="1282"/>
      <c r="D21" s="2433"/>
      <c r="E21" s="2433"/>
      <c r="F21" s="2433"/>
    </row>
    <row r="22" spans="1:6" ht="20.65" customHeight="1" x14ac:dyDescent="0.2">
      <c r="A22" s="1280"/>
      <c r="B22" s="1281"/>
      <c r="C22" s="1282"/>
      <c r="D22" s="2433"/>
      <c r="E22" s="2433"/>
      <c r="F22" s="2433"/>
    </row>
    <row r="23" spans="1:6" ht="20.65" customHeight="1" x14ac:dyDescent="0.2">
      <c r="A23" s="1280"/>
      <c r="B23" s="1281"/>
      <c r="C23" s="1282"/>
      <c r="D23" s="2433"/>
      <c r="E23" s="2433"/>
      <c r="F23" s="2433"/>
    </row>
    <row r="24" spans="1:6" ht="20.65" customHeight="1" x14ac:dyDescent="0.2">
      <c r="A24" s="1280"/>
      <c r="B24" s="1281"/>
      <c r="C24" s="1282"/>
      <c r="D24" s="2433"/>
      <c r="E24" s="2433"/>
      <c r="F24" s="2433"/>
    </row>
    <row r="25" spans="1:6" ht="20.65" customHeight="1" x14ac:dyDescent="0.2">
      <c r="A25" s="1280"/>
      <c r="B25" s="1281"/>
      <c r="C25" s="1282"/>
      <c r="D25" s="2433"/>
      <c r="E25" s="2433"/>
      <c r="F25" s="2433"/>
    </row>
    <row r="26" spans="1:6" ht="20.65" customHeight="1" x14ac:dyDescent="0.2">
      <c r="A26" s="1280"/>
      <c r="B26" s="1281"/>
      <c r="C26" s="1282"/>
      <c r="D26" s="2433"/>
      <c r="E26" s="2433"/>
      <c r="F26" s="2433"/>
    </row>
    <row r="27" spans="1:6" ht="20.65" customHeight="1" x14ac:dyDescent="0.2">
      <c r="A27" s="1280"/>
      <c r="B27" s="1281"/>
      <c r="C27" s="1282"/>
      <c r="D27" s="2433"/>
      <c r="E27" s="2433"/>
      <c r="F27" s="2433"/>
    </row>
    <row r="28" spans="1:6" ht="20.65" customHeight="1" x14ac:dyDescent="0.2">
      <c r="A28" s="1280"/>
      <c r="B28" s="1281"/>
      <c r="C28" s="1282"/>
      <c r="D28" s="2433"/>
      <c r="E28" s="2433"/>
      <c r="F28" s="2433"/>
    </row>
    <row r="29" spans="1:6" ht="20.65" customHeight="1" x14ac:dyDescent="0.2">
      <c r="A29" s="1280"/>
      <c r="B29" s="1281"/>
      <c r="C29" s="1282"/>
      <c r="D29" s="2433"/>
      <c r="E29" s="2433"/>
      <c r="F29" s="2433"/>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4" t="s">
        <v>1732</v>
      </c>
      <c r="B32" s="2434"/>
      <c r="C32" s="2434"/>
      <c r="D32" s="2434"/>
      <c r="E32" s="2434"/>
      <c r="F32" s="2434"/>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5">
        <f>+C33+C34</f>
        <v>0</v>
      </c>
      <c r="F34" s="2436"/>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7" t="s">
        <v>1590</v>
      </c>
      <c r="C49" s="2437"/>
      <c r="D49" s="2437"/>
      <c r="E49" s="1396"/>
    </row>
    <row r="50" spans="1:5" s="1297" customFormat="1" ht="3.75" customHeight="1" x14ac:dyDescent="0.2">
      <c r="A50" s="1296"/>
      <c r="B50" s="1842"/>
      <c r="C50" s="1842"/>
      <c r="D50" s="1842"/>
      <c r="E50" s="1396"/>
    </row>
    <row r="51" spans="1:5" s="1297" customFormat="1" ht="20.25" customHeight="1" x14ac:dyDescent="0.2">
      <c r="A51" s="1298">
        <v>6</v>
      </c>
      <c r="B51" s="2432" t="s">
        <v>1551</v>
      </c>
      <c r="C51" s="2432"/>
      <c r="D51" s="2432"/>
    </row>
    <row r="52" spans="1:5" ht="14.25" customHeight="1" x14ac:dyDescent="0.2">
      <c r="A52" s="1298"/>
      <c r="B52" s="2432"/>
      <c r="C52" s="2432"/>
      <c r="D52" s="243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L114" sqref="L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2072</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Henry-Senachwine CUSD 5</v>
      </c>
      <c r="C1" s="2456"/>
      <c r="D1" s="2456"/>
      <c r="E1" s="2456"/>
      <c r="F1" s="2456"/>
      <c r="G1" s="2456"/>
      <c r="H1" s="2456"/>
      <c r="I1" s="2456"/>
      <c r="J1" s="1406"/>
    </row>
    <row r="2" spans="2:10" s="317" customFormat="1" ht="12.75" customHeight="1" x14ac:dyDescent="0.2">
      <c r="B2" s="2457">
        <f>'Single Audit Cover'!E7</f>
        <v>35059005026</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44" t="s">
        <v>1593</v>
      </c>
      <c r="D43" s="2445"/>
      <c r="E43" s="2445"/>
      <c r="F43" s="2446"/>
      <c r="G43" s="2447">
        <f>SUM(G38:I42)</f>
        <v>0</v>
      </c>
      <c r="H43" s="2447"/>
      <c r="I43" s="2447"/>
    </row>
    <row r="44" spans="2:9" ht="12.75" customHeight="1" x14ac:dyDescent="0.2"/>
    <row r="45" spans="2:9" ht="12.75" customHeight="1" x14ac:dyDescent="0.2">
      <c r="B45" s="1419" t="s">
        <v>2104</v>
      </c>
      <c r="D45" s="2448">
        <v>0</v>
      </c>
      <c r="E45" s="244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0"/>
      <c r="F49" s="2450"/>
      <c r="G49" s="245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Henry-Senachwine CUSD 5</v>
      </c>
      <c r="C1" s="2455"/>
      <c r="D1" s="2455"/>
      <c r="E1" s="2455"/>
      <c r="F1" s="2455"/>
      <c r="G1" s="2455"/>
      <c r="H1" s="2455"/>
      <c r="I1" s="2455"/>
      <c r="J1" s="2455"/>
      <c r="K1" s="2455"/>
      <c r="L1" s="1371"/>
      <c r="M1" s="1371"/>
    </row>
    <row r="2" spans="1:13" ht="12" customHeight="1" x14ac:dyDescent="0.2">
      <c r="B2" s="2457">
        <f>'Single Audit Cover'!E7</f>
        <v>35059005026</v>
      </c>
      <c r="C2" s="2457"/>
      <c r="D2" s="2457"/>
      <c r="E2" s="2457"/>
      <c r="F2" s="2457"/>
      <c r="G2" s="2457"/>
      <c r="H2" s="2457"/>
      <c r="I2" s="2457"/>
      <c r="J2" s="2457"/>
      <c r="K2" s="2457"/>
      <c r="L2" s="1372"/>
      <c r="M2" s="1373"/>
    </row>
    <row r="3" spans="1:13" ht="10.35" customHeight="1" x14ac:dyDescent="0.2">
      <c r="B3" s="2471" t="s">
        <v>1285</v>
      </c>
      <c r="C3" s="2471"/>
      <c r="D3" s="2471"/>
      <c r="E3" s="2471"/>
      <c r="F3" s="2471"/>
      <c r="G3" s="2471"/>
      <c r="H3" s="2471"/>
      <c r="I3" s="2471"/>
      <c r="J3" s="2471"/>
      <c r="K3" s="2471"/>
      <c r="L3" s="1374"/>
      <c r="M3" s="1374"/>
    </row>
    <row r="4" spans="1:13" ht="14.25" customHeight="1" x14ac:dyDescent="0.2">
      <c r="B4" s="2472" t="str">
        <f>'Single Audit Cover'!A4</f>
        <v>Year Ending June 30, 2019</v>
      </c>
      <c r="C4" s="2472"/>
      <c r="D4" s="2472"/>
      <c r="E4" s="2472"/>
      <c r="F4" s="2472"/>
      <c r="G4" s="2472"/>
      <c r="H4" s="2472"/>
      <c r="I4" s="2472"/>
      <c r="J4" s="2472"/>
      <c r="K4" s="247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2" t="s">
        <v>1296</v>
      </c>
      <c r="C7" s="2472"/>
      <c r="D7" s="2473"/>
      <c r="E7" s="2473"/>
      <c r="F7" s="2473"/>
      <c r="G7" s="2473"/>
      <c r="H7" s="2473"/>
      <c r="I7" s="2473"/>
      <c r="J7" s="2473"/>
      <c r="K7" s="247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0"/>
      <c r="C14" s="2470"/>
      <c r="D14" s="2470"/>
      <c r="E14" s="2470"/>
      <c r="F14" s="2470"/>
      <c r="G14" s="2470"/>
      <c r="H14" s="2470"/>
      <c r="I14" s="2470"/>
      <c r="J14" s="2470"/>
      <c r="K14" s="247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0"/>
      <c r="C17" s="2470"/>
      <c r="D17" s="2470"/>
      <c r="E17" s="2470"/>
      <c r="F17" s="2470"/>
      <c r="G17" s="2470"/>
      <c r="H17" s="2470"/>
      <c r="I17" s="2470"/>
      <c r="J17" s="2470"/>
      <c r="K17" s="247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4"/>
      <c r="C20" s="2474"/>
      <c r="D20" s="2470"/>
      <c r="E20" s="2470"/>
      <c r="F20" s="2470"/>
      <c r="G20" s="2470"/>
      <c r="H20" s="2470"/>
      <c r="I20" s="2470"/>
      <c r="J20" s="2470"/>
      <c r="K20" s="247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0"/>
      <c r="C23" s="2470"/>
      <c r="D23" s="2470"/>
      <c r="E23" s="2470"/>
      <c r="F23" s="2470"/>
      <c r="G23" s="2470"/>
      <c r="H23" s="2470"/>
      <c r="I23" s="2470"/>
      <c r="J23" s="2470"/>
      <c r="K23" s="247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0"/>
      <c r="C26" s="2470"/>
      <c r="D26" s="2470"/>
      <c r="E26" s="2470"/>
      <c r="F26" s="2470"/>
      <c r="G26" s="2470"/>
      <c r="H26" s="2470"/>
      <c r="I26" s="2470"/>
      <c r="J26" s="2470"/>
      <c r="K26" s="247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69"/>
      <c r="C29" s="2469"/>
      <c r="D29" s="2470"/>
      <c r="E29" s="2470"/>
      <c r="F29" s="2470"/>
      <c r="G29" s="2470"/>
      <c r="H29" s="2470"/>
      <c r="I29" s="2470"/>
      <c r="J29" s="2470"/>
      <c r="K29" s="247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69"/>
      <c r="C32" s="2469"/>
      <c r="D32" s="2470"/>
      <c r="E32" s="2470"/>
      <c r="F32" s="2470"/>
      <c r="G32" s="2470"/>
      <c r="H32" s="2470"/>
      <c r="I32" s="2470"/>
      <c r="J32" s="2470"/>
      <c r="K32" s="247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Henry-Senachwine CUSD 5</v>
      </c>
      <c r="C1" s="2478"/>
      <c r="D1" s="2478"/>
      <c r="E1" s="2478"/>
      <c r="F1" s="2478"/>
      <c r="G1" s="2478"/>
      <c r="H1" s="2478"/>
      <c r="I1" s="2478"/>
      <c r="J1" s="2478"/>
      <c r="K1" s="2478"/>
      <c r="L1" s="1449"/>
    </row>
    <row r="2" spans="1:12" ht="12.75" customHeight="1" x14ac:dyDescent="0.2">
      <c r="B2" s="2479">
        <f>'Single Audit Cover'!E7</f>
        <v>35059005026</v>
      </c>
      <c r="C2" s="2479"/>
      <c r="D2" s="2479"/>
      <c r="E2" s="2479"/>
      <c r="F2" s="2479"/>
      <c r="G2" s="2479"/>
      <c r="H2" s="2479"/>
      <c r="I2" s="2479"/>
      <c r="J2" s="2479"/>
      <c r="K2" s="2479"/>
      <c r="L2" s="1450"/>
    </row>
    <row r="3" spans="1:12" ht="12.75" customHeight="1" x14ac:dyDescent="0.2">
      <c r="B3" s="2471" t="s">
        <v>1285</v>
      </c>
      <c r="C3" s="2471"/>
      <c r="D3" s="2471"/>
      <c r="E3" s="2471"/>
      <c r="F3" s="2471"/>
      <c r="G3" s="2471"/>
      <c r="H3" s="2471"/>
      <c r="I3" s="2471"/>
      <c r="J3" s="2471"/>
      <c r="K3" s="2471"/>
      <c r="L3" s="1374"/>
    </row>
    <row r="4" spans="1:12" ht="12.75" customHeight="1" x14ac:dyDescent="0.2">
      <c r="B4" s="2471" t="str">
        <f>'Single Audit Cover'!A4</f>
        <v>Year Ending June 30, 2019</v>
      </c>
      <c r="C4" s="2471"/>
      <c r="D4" s="2471"/>
      <c r="E4" s="2471"/>
      <c r="F4" s="2471"/>
      <c r="G4" s="2471"/>
      <c r="H4" s="2471"/>
      <c r="I4" s="2471"/>
      <c r="J4" s="2471"/>
      <c r="K4" s="2471"/>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5"/>
      <c r="E14" s="2475"/>
      <c r="F14" s="2475"/>
      <c r="H14" s="1459" t="s">
        <v>1303</v>
      </c>
      <c r="I14" s="2476"/>
      <c r="J14" s="2476"/>
      <c r="K14" s="247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6"/>
      <c r="E16" s="2476"/>
      <c r="F16" s="2476"/>
      <c r="G16" s="2476"/>
      <c r="H16" s="2476"/>
      <c r="I16" s="2476"/>
      <c r="J16" s="2476"/>
      <c r="K16" s="2476"/>
      <c r="L16" s="322"/>
    </row>
    <row r="17" spans="2:12" ht="13.5" customHeight="1" x14ac:dyDescent="0.2">
      <c r="B17" s="1384" t="s">
        <v>1301</v>
      </c>
      <c r="C17" s="1384"/>
      <c r="D17" s="2477"/>
      <c r="E17" s="2477"/>
      <c r="F17" s="2477"/>
      <c r="G17" s="2477"/>
      <c r="H17" s="2477"/>
      <c r="I17" s="2477"/>
      <c r="J17" s="2477"/>
      <c r="K17" s="247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0"/>
      <c r="C20" s="2470"/>
      <c r="D20" s="2470"/>
      <c r="E20" s="2470"/>
      <c r="F20" s="2470"/>
      <c r="G20" s="2470"/>
      <c r="H20" s="2470"/>
      <c r="I20" s="2470"/>
      <c r="J20" s="2470"/>
      <c r="K20" s="247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Henry-Senachwine CUSD 5</v>
      </c>
      <c r="C1" s="2455"/>
      <c r="D1" s="2455"/>
      <c r="E1" s="1469"/>
    </row>
    <row r="2" spans="2:5" s="1279" customFormat="1" ht="12.75" customHeight="1" x14ac:dyDescent="0.2">
      <c r="B2" s="2457">
        <f>'Single Audit Cover'!E7</f>
        <v>35059005026</v>
      </c>
      <c r="C2" s="2457"/>
      <c r="D2" s="2457"/>
      <c r="E2" s="1470"/>
    </row>
    <row r="3" spans="2:5" ht="12.75" customHeight="1" x14ac:dyDescent="0.2">
      <c r="B3" s="2471" t="s">
        <v>1766</v>
      </c>
      <c r="C3" s="2471"/>
      <c r="D3" s="2471"/>
      <c r="E3" s="1271"/>
    </row>
    <row r="4" spans="2:5" s="1279" customFormat="1" ht="12.75" customHeight="1" x14ac:dyDescent="0.2">
      <c r="B4" s="2481" t="str">
        <f>'Single Audit Cover'!A4</f>
        <v>Year Ending June 30, 2019</v>
      </c>
      <c r="C4" s="2481"/>
      <c r="D4" s="248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7" sqref="B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f>69738941+33345121</f>
        <v>103084062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2.8799999999999999E-2</v>
      </c>
      <c r="E10" s="356" t="s">
        <v>1005</v>
      </c>
      <c r="F10" s="355">
        <v>6.0000000000000001E-3</v>
      </c>
      <c r="G10" s="356" t="s">
        <v>1005</v>
      </c>
      <c r="H10" s="355">
        <v>2E-3</v>
      </c>
      <c r="I10" s="356" t="s">
        <v>1006</v>
      </c>
      <c r="J10" s="1730">
        <f>ROUND(D10+F10+H10,5)</f>
        <v>3.6799999999999999E-2</v>
      </c>
      <c r="K10" s="222"/>
      <c r="L10" s="355">
        <v>5.0000000000000001E-4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6340349</v>
      </c>
      <c r="E16" s="356"/>
      <c r="F16" s="1731">
        <f>SUM('Acct Summary 7-8'!C17,'Acct Summary 7-8'!D17,'Acct Summary 7-8'!F17)</f>
        <v>6287702</v>
      </c>
      <c r="G16" s="356"/>
      <c r="H16" s="1731">
        <f>SUM(D16-F16)</f>
        <v>52647</v>
      </c>
      <c r="I16" s="222"/>
      <c r="J16" s="1731">
        <f>SUM('Acct Summary 7-8'!C81,'Acct Summary 7-8'!D81,'Acct Summary 7-8'!F81,'Acct Summary 7-8'!I81)</f>
        <v>4181847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14225600.556000002</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101253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Henry-Senachwine CUSD 5</v>
      </c>
      <c r="E7" s="391"/>
      <c r="G7" s="252"/>
      <c r="H7" s="387"/>
      <c r="I7" s="387"/>
      <c r="J7" s="387"/>
      <c r="K7" s="387"/>
      <c r="L7" s="329"/>
      <c r="M7" s="329"/>
      <c r="N7" s="329"/>
      <c r="O7" s="329"/>
      <c r="P7" s="329"/>
    </row>
    <row r="8" spans="1:18" ht="12.75" x14ac:dyDescent="0.2">
      <c r="A8" s="329"/>
      <c r="B8" s="329"/>
      <c r="C8" s="389" t="s">
        <v>1125</v>
      </c>
      <c r="D8" s="392">
        <f>COVER!A13</f>
        <v>35059005026</v>
      </c>
      <c r="E8" s="393"/>
      <c r="G8" s="329"/>
      <c r="H8" s="329"/>
      <c r="I8" s="329"/>
      <c r="J8" s="329"/>
      <c r="K8" s="329"/>
      <c r="L8" s="329"/>
      <c r="M8" s="329"/>
      <c r="N8" s="329"/>
      <c r="O8" s="329"/>
      <c r="P8" s="329"/>
    </row>
    <row r="9" spans="1:18" ht="12.75" x14ac:dyDescent="0.2">
      <c r="A9" s="329"/>
      <c r="B9" s="329"/>
      <c r="C9" s="389" t="s">
        <v>713</v>
      </c>
      <c r="D9" s="394" t="str">
        <f>COVER!A15</f>
        <v>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4181847</v>
      </c>
      <c r="I12" s="404"/>
      <c r="J12" s="404"/>
      <c r="K12" s="405">
        <f>TRUNC((H12/H13*100000),5)/100000</f>
        <v>0.65956101150000002</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6340349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6287702</v>
      </c>
      <c r="I17" s="404"/>
      <c r="J17" s="416"/>
      <c r="K17" s="405">
        <f>TRUNC((H17/H18*100000),5)/100000</f>
        <v>0.99169651380000001</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6340349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4181847</v>
      </c>
      <c r="I24" s="422"/>
      <c r="J24" s="422"/>
      <c r="K24" s="423">
        <f>TRUNC(((H24/H25*100000)/100000),2)</f>
        <v>239.43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17465.838889999999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3224469.4593600002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101253</v>
      </c>
      <c r="I32" s="420"/>
      <c r="J32" s="420"/>
      <c r="K32" s="423">
        <f>TRUNC(100-((((H32/H33*100))*100)/100),2)</f>
        <v>99.28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14225600.556000002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10" colorId="8" zoomScale="110" zoomScaleNormal="110" workbookViewId="0">
      <selection activeCell="E47" sqref="E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9"/>
      <c r="D3" s="1560"/>
      <c r="E3" s="1560"/>
      <c r="F3" s="1560"/>
      <c r="G3" s="1560"/>
      <c r="H3" s="1560"/>
      <c r="I3" s="1560"/>
      <c r="J3" s="1560"/>
      <c r="K3" s="1560"/>
      <c r="L3" s="1560"/>
      <c r="M3" s="1561"/>
      <c r="N3" s="1562"/>
    </row>
    <row r="4" spans="1:14" ht="13.5" customHeight="1" x14ac:dyDescent="0.2">
      <c r="A4" s="463" t="s">
        <v>1651</v>
      </c>
      <c r="B4" s="464"/>
      <c r="C4" s="465">
        <v>949228</v>
      </c>
      <c r="D4" s="466">
        <v>861155</v>
      </c>
      <c r="E4" s="466">
        <v>314</v>
      </c>
      <c r="F4" s="466">
        <v>396446</v>
      </c>
      <c r="G4" s="466">
        <v>243892</v>
      </c>
      <c r="H4" s="466"/>
      <c r="I4" s="466">
        <v>1975018</v>
      </c>
      <c r="J4" s="467">
        <v>121813</v>
      </c>
      <c r="K4" s="466">
        <v>343880</v>
      </c>
      <c r="L4" s="466">
        <f>30517+30000+27601</f>
        <v>88118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949228</v>
      </c>
      <c r="D13" s="1735">
        <f t="shared" ref="D13:L13" si="0">SUM(D4:D12)</f>
        <v>861155</v>
      </c>
      <c r="E13" s="1735">
        <f t="shared" si="0"/>
        <v>314</v>
      </c>
      <c r="F13" s="1735">
        <f t="shared" si="0"/>
        <v>396446</v>
      </c>
      <c r="G13" s="1735">
        <f t="shared" si="0"/>
        <v>243892</v>
      </c>
      <c r="H13" s="1735">
        <f t="shared" si="0"/>
        <v>0</v>
      </c>
      <c r="I13" s="1735">
        <f t="shared" si="0"/>
        <v>1975018</v>
      </c>
      <c r="J13" s="1735">
        <f t="shared" si="0"/>
        <v>121813</v>
      </c>
      <c r="K13" s="1735">
        <f t="shared" si="0"/>
        <v>343880</v>
      </c>
      <c r="L13" s="1735">
        <f t="shared" si="0"/>
        <v>88118</v>
      </c>
      <c r="M13" s="468"/>
      <c r="N13" s="469"/>
    </row>
    <row r="14" spans="1:14" ht="18" customHeight="1" thickTop="1" x14ac:dyDescent="0.2">
      <c r="A14" s="2105" t="s">
        <v>147</v>
      </c>
      <c r="B14" s="210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103400</v>
      </c>
      <c r="N16" s="484"/>
    </row>
    <row r="17" spans="1:14" s="485" customFormat="1" ht="12.75" customHeight="1" x14ac:dyDescent="0.2">
      <c r="A17" s="482" t="s">
        <v>1403</v>
      </c>
      <c r="B17" s="483">
        <v>230</v>
      </c>
      <c r="C17" s="477"/>
      <c r="D17" s="477"/>
      <c r="E17" s="477"/>
      <c r="F17" s="477"/>
      <c r="G17" s="477"/>
      <c r="H17" s="477"/>
      <c r="I17" s="477"/>
      <c r="J17" s="477"/>
      <c r="K17" s="477"/>
      <c r="L17" s="477"/>
      <c r="M17" s="467">
        <v>7130191</v>
      </c>
      <c r="N17" s="484"/>
    </row>
    <row r="18" spans="1:14" s="485" customFormat="1" ht="12.75" customHeight="1" x14ac:dyDescent="0.2">
      <c r="A18" s="482" t="s">
        <v>1404</v>
      </c>
      <c r="B18" s="483">
        <v>240</v>
      </c>
      <c r="C18" s="477"/>
      <c r="D18" s="477"/>
      <c r="E18" s="477"/>
      <c r="F18" s="477"/>
      <c r="G18" s="477"/>
      <c r="H18" s="477"/>
      <c r="I18" s="477"/>
      <c r="J18" s="477"/>
      <c r="K18" s="477"/>
      <c r="L18" s="477"/>
      <c r="M18" s="467">
        <v>589979</v>
      </c>
      <c r="N18" s="484"/>
    </row>
    <row r="19" spans="1:14" s="485" customFormat="1" ht="12.75" customHeight="1" x14ac:dyDescent="0.2">
      <c r="A19" s="482" t="s">
        <v>1405</v>
      </c>
      <c r="B19" s="483">
        <v>250</v>
      </c>
      <c r="C19" s="477"/>
      <c r="D19" s="477"/>
      <c r="E19" s="477"/>
      <c r="F19" s="477"/>
      <c r="G19" s="477"/>
      <c r="H19" s="477"/>
      <c r="I19" s="477"/>
      <c r="J19" s="477"/>
      <c r="K19" s="477"/>
      <c r="L19" s="477"/>
      <c r="M19" s="467">
        <v>3177575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101253</v>
      </c>
    </row>
    <row r="23" spans="1:14" ht="13.5" customHeight="1" thickBot="1" x14ac:dyDescent="0.25">
      <c r="A23" s="1734" t="s">
        <v>643</v>
      </c>
      <c r="B23" s="1739"/>
      <c r="C23" s="468"/>
      <c r="D23" s="468"/>
      <c r="E23" s="468"/>
      <c r="F23" s="468"/>
      <c r="G23" s="468"/>
      <c r="H23" s="468"/>
      <c r="I23" s="468"/>
      <c r="J23" s="468"/>
      <c r="K23" s="468"/>
      <c r="L23" s="468"/>
      <c r="M23" s="1686">
        <f>SUM(M15:M22)</f>
        <v>11001145</v>
      </c>
      <c r="N23" s="1686">
        <f>SUM(N21:N22)</f>
        <v>101253</v>
      </c>
    </row>
    <row r="24" spans="1:14" ht="18" customHeight="1" thickTop="1" x14ac:dyDescent="0.2">
      <c r="A24" s="2107" t="s">
        <v>598</v>
      </c>
      <c r="B24" s="210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0</v>
      </c>
      <c r="M34" s="468"/>
      <c r="N34" s="480"/>
    </row>
    <row r="35" spans="1:14" ht="18" customHeight="1" thickTop="1" x14ac:dyDescent="0.2">
      <c r="A35" s="2109" t="s">
        <v>529</v>
      </c>
      <c r="B35" s="211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101253</v>
      </c>
    </row>
    <row r="37" spans="1:14" ht="13.5" thickBot="1" x14ac:dyDescent="0.25">
      <c r="A37" s="1734" t="s">
        <v>653</v>
      </c>
      <c r="B37" s="1739"/>
      <c r="C37" s="477"/>
      <c r="D37" s="477"/>
      <c r="E37" s="477"/>
      <c r="F37" s="477"/>
      <c r="G37" s="477"/>
      <c r="H37" s="477"/>
      <c r="I37" s="477"/>
      <c r="J37" s="477"/>
      <c r="K37" s="477"/>
      <c r="L37" s="480"/>
      <c r="M37" s="468"/>
      <c r="N37" s="1686">
        <f>SUM(N36:N36)</f>
        <v>101253</v>
      </c>
    </row>
    <row r="38" spans="1:14" s="329" customFormat="1" ht="13.5" customHeight="1" thickTop="1" x14ac:dyDescent="0.2">
      <c r="A38" s="496" t="s">
        <v>420</v>
      </c>
      <c r="B38" s="483">
        <v>714</v>
      </c>
      <c r="C38" s="466"/>
      <c r="D38" s="466"/>
      <c r="E38" s="466"/>
      <c r="F38" s="466"/>
      <c r="G38" s="466">
        <v>112588</v>
      </c>
      <c r="H38" s="466"/>
      <c r="I38" s="466"/>
      <c r="J38" s="467"/>
      <c r="K38" s="466"/>
      <c r="L38" s="481">
        <v>88118</v>
      </c>
      <c r="M38" s="497"/>
      <c r="N38" s="497"/>
    </row>
    <row r="39" spans="1:14" s="329" customFormat="1" ht="13.5" customHeight="1" x14ac:dyDescent="0.2">
      <c r="A39" s="496" t="s">
        <v>342</v>
      </c>
      <c r="B39" s="483">
        <v>730</v>
      </c>
      <c r="C39" s="466">
        <v>949228</v>
      </c>
      <c r="D39" s="466">
        <v>861155</v>
      </c>
      <c r="E39" s="466">
        <v>314</v>
      </c>
      <c r="F39" s="466">
        <v>396446</v>
      </c>
      <c r="G39" s="466">
        <f>-112588+243892</f>
        <v>131304</v>
      </c>
      <c r="H39" s="466"/>
      <c r="I39" s="466">
        <v>1975018</v>
      </c>
      <c r="J39" s="467">
        <v>121813</v>
      </c>
      <c r="K39" s="466">
        <v>343880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11001145</v>
      </c>
      <c r="N40" s="497"/>
    </row>
    <row r="41" spans="1:14" ht="13.5" customHeight="1" thickBot="1" x14ac:dyDescent="0.25">
      <c r="A41" s="1734" t="s">
        <v>655</v>
      </c>
      <c r="B41" s="1704"/>
      <c r="C41" s="1686">
        <f>(SUM(C34,C37,C38,C39))</f>
        <v>949228</v>
      </c>
      <c r="D41" s="1686">
        <f t="shared" ref="D41:L41" si="2">SUM(D34,D37,D38:D39)</f>
        <v>861155</v>
      </c>
      <c r="E41" s="1686">
        <f t="shared" si="2"/>
        <v>314</v>
      </c>
      <c r="F41" s="1686">
        <f t="shared" si="2"/>
        <v>396446</v>
      </c>
      <c r="G41" s="1686">
        <f t="shared" si="2"/>
        <v>243892</v>
      </c>
      <c r="H41" s="1686">
        <f t="shared" si="2"/>
        <v>0</v>
      </c>
      <c r="I41" s="1686">
        <f t="shared" si="2"/>
        <v>1975018</v>
      </c>
      <c r="J41" s="1686">
        <f t="shared" si="2"/>
        <v>121813</v>
      </c>
      <c r="K41" s="1686">
        <f t="shared" si="2"/>
        <v>343880</v>
      </c>
      <c r="L41" s="1686">
        <f t="shared" si="2"/>
        <v>88118</v>
      </c>
      <c r="M41" s="1686">
        <f>SUM(M40)</f>
        <v>11001145</v>
      </c>
      <c r="N41" s="1686">
        <f>SUM(N37)</f>
        <v>101253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accompanying notes are an integral part of these financial satements.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31" sqref="E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1" t="s">
        <v>1175</v>
      </c>
      <c r="B3" s="2132"/>
      <c r="C3" s="1573"/>
      <c r="D3" s="1574"/>
      <c r="E3" s="1574"/>
      <c r="F3" s="1574"/>
      <c r="G3" s="1574"/>
      <c r="H3" s="1574"/>
      <c r="I3" s="1574"/>
      <c r="J3" s="1574"/>
      <c r="K3" s="1575"/>
      <c r="L3" s="506"/>
    </row>
    <row r="4" spans="1:13" ht="15.75" customHeight="1" x14ac:dyDescent="0.2">
      <c r="A4" s="1925" t="s">
        <v>1499</v>
      </c>
      <c r="B4" s="1926">
        <v>1000</v>
      </c>
      <c r="C4" s="1740">
        <f>'Revenues 9-14'!C109</f>
        <v>3877584</v>
      </c>
      <c r="D4" s="1740">
        <f>'Revenues 9-14'!D109</f>
        <v>626461</v>
      </c>
      <c r="E4" s="1740">
        <f>'Revenues 9-14'!E109</f>
        <v>314</v>
      </c>
      <c r="F4" s="1740">
        <f>'Revenues 9-14'!F109</f>
        <v>211032</v>
      </c>
      <c r="G4" s="1740">
        <f>'Revenues 9-14'!G109</f>
        <v>290068</v>
      </c>
      <c r="H4" s="1740">
        <f>'Revenues 9-14'!H109</f>
        <v>0</v>
      </c>
      <c r="I4" s="1740">
        <f>'Revenues 9-14'!I109</f>
        <v>65692</v>
      </c>
      <c r="J4" s="1740">
        <f>'Revenues 9-14'!J109</f>
        <v>304116</v>
      </c>
      <c r="K4" s="1740">
        <f>'Revenues 9-14'!K109</f>
        <v>58273</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890696</v>
      </c>
      <c r="D6" s="1741">
        <f>'Revenues 9-14'!D170</f>
        <v>0</v>
      </c>
      <c r="E6" s="1741">
        <f>'Revenues 9-14'!E170</f>
        <v>0</v>
      </c>
      <c r="F6" s="1741">
        <f>'Revenues 9-14'!F170</f>
        <v>260725</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408159</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5176439</v>
      </c>
      <c r="D8" s="1686">
        <f t="shared" ref="D8:K8" si="0">SUM(D4:D7)</f>
        <v>626461</v>
      </c>
      <c r="E8" s="1686">
        <f t="shared" si="0"/>
        <v>314</v>
      </c>
      <c r="F8" s="1686">
        <f t="shared" si="0"/>
        <v>471757</v>
      </c>
      <c r="G8" s="1686">
        <f t="shared" si="0"/>
        <v>290068</v>
      </c>
      <c r="H8" s="1686">
        <f t="shared" si="0"/>
        <v>0</v>
      </c>
      <c r="I8" s="1686">
        <f t="shared" si="0"/>
        <v>65692</v>
      </c>
      <c r="J8" s="1686">
        <f t="shared" si="0"/>
        <v>304116</v>
      </c>
      <c r="K8" s="1686">
        <f t="shared" si="0"/>
        <v>58273</v>
      </c>
      <c r="L8" s="347"/>
    </row>
    <row r="9" spans="1:13" ht="15.75" thickTop="1" x14ac:dyDescent="0.2">
      <c r="A9" s="514" t="s">
        <v>1653</v>
      </c>
      <c r="B9" s="515">
        <v>3998</v>
      </c>
      <c r="C9" s="481">
        <f>2178735+38989</f>
        <v>2217724</v>
      </c>
      <c r="D9" s="516"/>
      <c r="E9" s="481"/>
      <c r="F9" s="481"/>
      <c r="G9" s="517"/>
      <c r="H9" s="481"/>
      <c r="I9" s="509" t="s">
        <v>1169</v>
      </c>
      <c r="J9" s="478"/>
      <c r="K9" s="481"/>
      <c r="L9" s="347"/>
    </row>
    <row r="10" spans="1:13" s="519" customFormat="1" ht="13.5" thickBot="1" x14ac:dyDescent="0.25">
      <c r="A10" s="1734" t="s">
        <v>1173</v>
      </c>
      <c r="B10" s="1707"/>
      <c r="C10" s="1686">
        <f>SUM(C8:C9)</f>
        <v>7394163</v>
      </c>
      <c r="D10" s="1686">
        <f t="shared" ref="D10:K10" si="1">SUM(D8:D9)</f>
        <v>626461</v>
      </c>
      <c r="E10" s="1686">
        <f t="shared" si="1"/>
        <v>314</v>
      </c>
      <c r="F10" s="1686">
        <f t="shared" si="1"/>
        <v>471757</v>
      </c>
      <c r="G10" s="1686">
        <f t="shared" si="1"/>
        <v>290068</v>
      </c>
      <c r="H10" s="1686">
        <f t="shared" si="1"/>
        <v>0</v>
      </c>
      <c r="I10" s="1686">
        <f t="shared" si="1"/>
        <v>65692</v>
      </c>
      <c r="J10" s="1686">
        <f t="shared" si="1"/>
        <v>304116</v>
      </c>
      <c r="K10" s="1686">
        <f t="shared" si="1"/>
        <v>58273</v>
      </c>
      <c r="L10" s="518"/>
    </row>
    <row r="11" spans="1:13" s="519" customFormat="1" ht="16.7" customHeight="1" thickTop="1" x14ac:dyDescent="0.2">
      <c r="A11" s="2105" t="s">
        <v>1176</v>
      </c>
      <c r="B11" s="2106"/>
      <c r="C11" s="1570"/>
      <c r="D11" s="1571"/>
      <c r="E11" s="1571"/>
      <c r="F11" s="1571"/>
      <c r="G11" s="1571"/>
      <c r="H11" s="1571"/>
      <c r="I11" s="1571"/>
      <c r="J11" s="1571"/>
      <c r="K11" s="1572"/>
      <c r="L11" s="518"/>
    </row>
    <row r="12" spans="1:13" ht="15.75" customHeight="1" x14ac:dyDescent="0.2">
      <c r="A12" s="1576" t="s">
        <v>456</v>
      </c>
      <c r="B12" s="1578">
        <v>1000</v>
      </c>
      <c r="C12" s="1740">
        <f>'Expenditures 15-22'!K33</f>
        <v>3689228</v>
      </c>
      <c r="D12" s="520" t="s">
        <v>1169</v>
      </c>
      <c r="E12" s="468" t="s">
        <v>1169</v>
      </c>
      <c r="F12" s="468" t="s">
        <v>1169</v>
      </c>
      <c r="G12" s="1740">
        <f>'Expenditures 15-22'!K229</f>
        <v>81571</v>
      </c>
      <c r="H12" s="521"/>
      <c r="I12" s="468" t="s">
        <v>1169</v>
      </c>
      <c r="J12" s="468" t="s">
        <v>1169</v>
      </c>
      <c r="K12" s="521" t="s">
        <v>1169</v>
      </c>
      <c r="L12" s="347"/>
    </row>
    <row r="13" spans="1:13" ht="15.75" customHeight="1" x14ac:dyDescent="0.2">
      <c r="A13" s="1576" t="s">
        <v>457</v>
      </c>
      <c r="B13" s="1578">
        <v>2000</v>
      </c>
      <c r="C13" s="1741">
        <f>'Expenditures 15-22'!K74</f>
        <v>1409652</v>
      </c>
      <c r="D13" s="1741">
        <f>'Expenditures 15-22'!K129</f>
        <v>604291</v>
      </c>
      <c r="E13" s="469" t="s">
        <v>1169</v>
      </c>
      <c r="F13" s="1741">
        <f>'Expenditures 15-22'!K184</f>
        <v>401362</v>
      </c>
      <c r="G13" s="1741">
        <f>'Expenditures 15-22'!K279</f>
        <v>173888</v>
      </c>
      <c r="H13" s="1741">
        <f>'Expenditures 15-22'!K303</f>
        <v>0</v>
      </c>
      <c r="I13" s="468" t="s">
        <v>1169</v>
      </c>
      <c r="J13" s="1741">
        <f>'Expenditures 15-22'!K330</f>
        <v>300710</v>
      </c>
      <c r="K13" s="1745">
        <f>'Expenditures 15-22'!K352</f>
        <v>364764</v>
      </c>
      <c r="L13" s="347"/>
    </row>
    <row r="14" spans="1:13" ht="15.75" customHeight="1" x14ac:dyDescent="0.2">
      <c r="A14" s="1576" t="s">
        <v>449</v>
      </c>
      <c r="B14" s="1578">
        <v>3000</v>
      </c>
      <c r="C14" s="1741">
        <f>'Expenditures 15-22'!K75</f>
        <v>1689</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154011</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0</v>
      </c>
      <c r="F16" s="1741">
        <f>'Expenditures 15-22'!K208</f>
        <v>27469</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5254580</v>
      </c>
      <c r="D17" s="1686">
        <f t="shared" si="2"/>
        <v>604291</v>
      </c>
      <c r="E17" s="1686">
        <f t="shared" si="2"/>
        <v>0</v>
      </c>
      <c r="F17" s="1686">
        <f t="shared" si="2"/>
        <v>428831</v>
      </c>
      <c r="G17" s="1686">
        <f t="shared" si="2"/>
        <v>255459</v>
      </c>
      <c r="H17" s="1686">
        <f t="shared" si="2"/>
        <v>0</v>
      </c>
      <c r="I17" s="468"/>
      <c r="J17" s="1686">
        <f>SUM(J12:J16)</f>
        <v>300710</v>
      </c>
      <c r="K17" s="1686">
        <f>SUM(K12:K16)</f>
        <v>364764</v>
      </c>
      <c r="L17" s="347"/>
    </row>
    <row r="18" spans="1:12" ht="15" customHeight="1" thickTop="1" x14ac:dyDescent="0.2">
      <c r="A18" s="1742" t="s">
        <v>1654</v>
      </c>
      <c r="B18" s="1743">
        <v>4180</v>
      </c>
      <c r="C18" s="1740">
        <f t="shared" ref="C18:H18" si="3">C9</f>
        <v>2217724</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7472304</v>
      </c>
      <c r="D19" s="1686">
        <f t="shared" si="4"/>
        <v>604291</v>
      </c>
      <c r="E19" s="1686">
        <f t="shared" si="4"/>
        <v>0</v>
      </c>
      <c r="F19" s="1686">
        <f t="shared" si="4"/>
        <v>428831</v>
      </c>
      <c r="G19" s="1686">
        <f t="shared" si="4"/>
        <v>255459</v>
      </c>
      <c r="H19" s="1686">
        <f t="shared" si="4"/>
        <v>0</v>
      </c>
      <c r="I19" s="468"/>
      <c r="J19" s="1686">
        <f>SUM(J17:J18)</f>
        <v>300710</v>
      </c>
      <c r="K19" s="1686">
        <f>SUM(K17:K18)</f>
        <v>364764</v>
      </c>
      <c r="L19" s="347"/>
    </row>
    <row r="20" spans="1:12" ht="16.5" thickTop="1" thickBot="1" x14ac:dyDescent="0.25">
      <c r="A20" s="2121" t="s">
        <v>1655</v>
      </c>
      <c r="B20" s="2122"/>
      <c r="C20" s="1744">
        <f>C8-C17</f>
        <v>-78141</v>
      </c>
      <c r="D20" s="1744">
        <f t="shared" ref="D20:K20" si="5">D8-D17</f>
        <v>22170</v>
      </c>
      <c r="E20" s="1744">
        <f t="shared" si="5"/>
        <v>314</v>
      </c>
      <c r="F20" s="1744">
        <f t="shared" si="5"/>
        <v>42926</v>
      </c>
      <c r="G20" s="1744">
        <f t="shared" si="5"/>
        <v>34609</v>
      </c>
      <c r="H20" s="1744">
        <f t="shared" si="5"/>
        <v>0</v>
      </c>
      <c r="I20" s="1744">
        <f t="shared" si="5"/>
        <v>65692</v>
      </c>
      <c r="J20" s="1744">
        <f t="shared" si="5"/>
        <v>3406</v>
      </c>
      <c r="K20" s="1744">
        <f t="shared" si="5"/>
        <v>-306491</v>
      </c>
      <c r="L20" s="347"/>
    </row>
    <row r="21" spans="1:12" ht="16.7" customHeight="1" thickTop="1" x14ac:dyDescent="0.2">
      <c r="A21" s="2133" t="s">
        <v>595</v>
      </c>
      <c r="B21" s="2134"/>
      <c r="C21" s="1570"/>
      <c r="D21" s="1571"/>
      <c r="E21" s="1571"/>
      <c r="F21" s="1571"/>
      <c r="G21" s="1571"/>
      <c r="H21" s="1571"/>
      <c r="I21" s="1571"/>
      <c r="J21" s="1571"/>
      <c r="K21" s="1572"/>
      <c r="L21" s="524"/>
    </row>
    <row r="22" spans="1:12" ht="15.75" customHeight="1" collapsed="1" x14ac:dyDescent="0.2">
      <c r="A22" s="2129" t="s">
        <v>596</v>
      </c>
      <c r="B22" s="2130"/>
      <c r="C22" s="477"/>
      <c r="D22" s="477"/>
      <c r="E22" s="477"/>
      <c r="F22" s="477"/>
      <c r="G22" s="477"/>
      <c r="H22" s="477"/>
      <c r="I22" s="477"/>
      <c r="J22" s="477"/>
      <c r="K22" s="477"/>
      <c r="L22" s="347"/>
    </row>
    <row r="23" spans="1:12" s="485" customFormat="1" ht="15.75" customHeight="1" x14ac:dyDescent="0.2">
      <c r="A23" s="2125" t="s">
        <v>293</v>
      </c>
      <c r="B23" s="212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7" t="s">
        <v>981</v>
      </c>
      <c r="B32" s="212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5" t="s">
        <v>374</v>
      </c>
      <c r="B44" s="2136"/>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29" t="s">
        <v>108</v>
      </c>
      <c r="B45" s="2130"/>
      <c r="C45" s="528"/>
      <c r="D45" s="528"/>
      <c r="E45" s="528"/>
      <c r="F45" s="528"/>
      <c r="G45" s="528"/>
      <c r="H45" s="528"/>
      <c r="I45" s="528"/>
      <c r="J45" s="528"/>
      <c r="K45" s="528"/>
      <c r="L45" s="347"/>
    </row>
    <row r="46" spans="1:12" s="485" customFormat="1" ht="15.75" customHeight="1" x14ac:dyDescent="0.2">
      <c r="A46" s="2137" t="s">
        <v>109</v>
      </c>
      <c r="B46" s="213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1" t="s">
        <v>440</v>
      </c>
      <c r="B76" s="2112"/>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3" t="s">
        <v>1177</v>
      </c>
      <c r="B77" s="2114"/>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17" t="s">
        <v>597</v>
      </c>
      <c r="B78" s="2118"/>
      <c r="C78" s="1700">
        <f t="shared" ref="C78:K78" si="9">C20+C77</f>
        <v>-78141</v>
      </c>
      <c r="D78" s="1700">
        <f t="shared" si="9"/>
        <v>22170</v>
      </c>
      <c r="E78" s="1700">
        <f t="shared" si="9"/>
        <v>314</v>
      </c>
      <c r="F78" s="1700">
        <f t="shared" si="9"/>
        <v>42926</v>
      </c>
      <c r="G78" s="1700">
        <f t="shared" si="9"/>
        <v>34609</v>
      </c>
      <c r="H78" s="1700">
        <f t="shared" si="9"/>
        <v>0</v>
      </c>
      <c r="I78" s="1700">
        <f t="shared" si="9"/>
        <v>65692</v>
      </c>
      <c r="J78" s="1700">
        <f t="shared" si="9"/>
        <v>3406</v>
      </c>
      <c r="K78" s="1700">
        <f t="shared" si="9"/>
        <v>-306491</v>
      </c>
      <c r="L78" s="533"/>
    </row>
    <row r="79" spans="1:12" ht="13.5" thickTop="1" x14ac:dyDescent="0.2">
      <c r="A79" s="1494" t="s">
        <v>1948</v>
      </c>
      <c r="B79" s="534"/>
      <c r="C79" s="478">
        <v>1027369</v>
      </c>
      <c r="D79" s="535">
        <v>838985</v>
      </c>
      <c r="E79" s="535"/>
      <c r="F79" s="535">
        <v>353520</v>
      </c>
      <c r="G79" s="535">
        <v>209283</v>
      </c>
      <c r="H79" s="535"/>
      <c r="I79" s="535">
        <v>1909326</v>
      </c>
      <c r="J79" s="535">
        <v>118407</v>
      </c>
      <c r="K79" s="535">
        <v>650371</v>
      </c>
      <c r="L79" s="347"/>
    </row>
    <row r="80" spans="1:12" x14ac:dyDescent="0.2">
      <c r="A80" s="2123" t="s">
        <v>1795</v>
      </c>
      <c r="B80" s="2124"/>
      <c r="C80" s="467"/>
      <c r="D80" s="467"/>
      <c r="E80" s="467"/>
      <c r="F80" s="467"/>
      <c r="G80" s="467"/>
      <c r="H80" s="467"/>
      <c r="I80" s="467"/>
      <c r="J80" s="467"/>
      <c r="K80" s="467"/>
      <c r="L80" s="347"/>
    </row>
    <row r="81" spans="1:12" ht="13.5" thickBot="1" x14ac:dyDescent="0.25">
      <c r="A81" s="2115" t="s">
        <v>1949</v>
      </c>
      <c r="B81" s="2116"/>
      <c r="C81" s="1686">
        <f>(SUM(C78:C80))</f>
        <v>949228</v>
      </c>
      <c r="D81" s="1686">
        <f>SUM(D78:D80)</f>
        <v>861155</v>
      </c>
      <c r="E81" s="1686">
        <f t="shared" ref="E81:K81" si="10">SUM(E78:E80)</f>
        <v>314</v>
      </c>
      <c r="F81" s="1686">
        <f t="shared" si="10"/>
        <v>396446</v>
      </c>
      <c r="G81" s="1686">
        <f t="shared" si="10"/>
        <v>243892</v>
      </c>
      <c r="H81" s="1686">
        <f t="shared" si="10"/>
        <v>0</v>
      </c>
      <c r="I81" s="1686">
        <f t="shared" si="10"/>
        <v>1975018</v>
      </c>
      <c r="J81" s="1686">
        <f t="shared" si="10"/>
        <v>121813</v>
      </c>
      <c r="K81" s="1686">
        <f t="shared" si="10"/>
        <v>343880</v>
      </c>
      <c r="L81" s="347"/>
    </row>
    <row r="82" spans="1:12" ht="0.75" customHeight="1" thickTop="1" thickBot="1" x14ac:dyDescent="0.25">
      <c r="A82" s="536" t="s">
        <v>343</v>
      </c>
      <c r="B82" s="537"/>
      <c r="C82" s="538">
        <f>(C81-C79)</f>
        <v>-78141</v>
      </c>
      <c r="D82" s="538">
        <f t="shared" ref="D82:K82" si="11">(D81-D79)</f>
        <v>22170</v>
      </c>
      <c r="E82" s="538">
        <f t="shared" si="11"/>
        <v>314</v>
      </c>
      <c r="F82" s="538">
        <f t="shared" si="11"/>
        <v>42926</v>
      </c>
      <c r="G82" s="538">
        <f t="shared" si="11"/>
        <v>34609</v>
      </c>
      <c r="H82" s="538">
        <f t="shared" si="11"/>
        <v>0</v>
      </c>
      <c r="I82" s="538">
        <f t="shared" si="11"/>
        <v>65692</v>
      </c>
      <c r="J82" s="538">
        <f t="shared" si="11"/>
        <v>3406</v>
      </c>
      <c r="K82" s="538">
        <f t="shared" si="11"/>
        <v>-306491</v>
      </c>
    </row>
    <row r="83" spans="1:12" ht="14.25" hidden="1" thickTop="1" thickBot="1" x14ac:dyDescent="0.25">
      <c r="A83" s="539" t="s">
        <v>344</v>
      </c>
      <c r="B83" s="464"/>
      <c r="C83" s="540">
        <f>C82/C81</f>
        <v>-8.2320580513849148E-2</v>
      </c>
      <c r="D83" s="540">
        <f t="shared" ref="D83:K83" si="12">D82/D81</f>
        <v>2.5744494312870507E-2</v>
      </c>
      <c r="E83" s="540">
        <f t="shared" si="12"/>
        <v>1</v>
      </c>
      <c r="F83" s="540">
        <f t="shared" si="12"/>
        <v>0.10827704151385056</v>
      </c>
      <c r="G83" s="540">
        <f t="shared" si="12"/>
        <v>0.14190297344726355</v>
      </c>
      <c r="H83" s="540" t="e">
        <f t="shared" si="12"/>
        <v>#DIV/0!</v>
      </c>
      <c r="I83" s="540">
        <f t="shared" si="12"/>
        <v>3.3261469009396367E-2</v>
      </c>
      <c r="J83" s="540">
        <f t="shared" si="12"/>
        <v>2.7960890873716272E-2</v>
      </c>
      <c r="K83" s="540">
        <f t="shared" si="12"/>
        <v>-0.89127311852971969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accompanying notes are an integral part of these financial satements.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3" activePane="bottomLeft" state="frozen"/>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2942239</v>
      </c>
      <c r="D5" s="481">
        <v>612966</v>
      </c>
      <c r="E5" s="466">
        <v>278</v>
      </c>
      <c r="F5" s="548">
        <v>204323</v>
      </c>
      <c r="G5" s="466">
        <v>142940</v>
      </c>
      <c r="H5" s="466"/>
      <c r="I5" s="466">
        <v>53765</v>
      </c>
      <c r="J5" s="467">
        <v>299856</v>
      </c>
      <c r="K5" s="466">
        <v>51080</v>
      </c>
    </row>
    <row r="6" spans="1:12" ht="15" x14ac:dyDescent="0.2">
      <c r="A6" s="463" t="s">
        <v>1662</v>
      </c>
      <c r="B6" s="470">
        <v>1130</v>
      </c>
      <c r="C6" s="466">
        <v>51080</v>
      </c>
      <c r="D6" s="466"/>
      <c r="E6" s="475"/>
      <c r="F6" s="475"/>
      <c r="G6" s="468"/>
      <c r="H6" s="468"/>
      <c r="I6" s="468"/>
      <c r="J6" s="468"/>
      <c r="K6" s="468"/>
    </row>
    <row r="7" spans="1:12" x14ac:dyDescent="0.2">
      <c r="A7" s="463" t="s">
        <v>110</v>
      </c>
      <c r="B7" s="549">
        <v>1140</v>
      </c>
      <c r="C7" s="466">
        <v>40865</v>
      </c>
      <c r="D7" s="466"/>
      <c r="E7" s="468"/>
      <c r="F7" s="467"/>
      <c r="G7" s="467"/>
      <c r="H7" s="467"/>
      <c r="I7" s="468"/>
      <c r="J7" s="468"/>
      <c r="K7" s="468"/>
    </row>
    <row r="8" spans="1:12" x14ac:dyDescent="0.2">
      <c r="A8" s="463" t="s">
        <v>413</v>
      </c>
      <c r="B8" s="470">
        <v>1150</v>
      </c>
      <c r="C8" s="475"/>
      <c r="D8" s="475"/>
      <c r="E8" s="477"/>
      <c r="F8" s="477"/>
      <c r="G8" s="481">
        <v>142940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3034184</v>
      </c>
      <c r="D12" s="1705">
        <f t="shared" si="0"/>
        <v>612966</v>
      </c>
      <c r="E12" s="1705">
        <f t="shared" si="0"/>
        <v>278</v>
      </c>
      <c r="F12" s="1705">
        <f t="shared" si="0"/>
        <v>204323</v>
      </c>
      <c r="G12" s="1705">
        <f t="shared" si="0"/>
        <v>285880</v>
      </c>
      <c r="H12" s="1705">
        <f t="shared" si="0"/>
        <v>0</v>
      </c>
      <c r="I12" s="1705">
        <f t="shared" si="0"/>
        <v>53765</v>
      </c>
      <c r="J12" s="1705">
        <f t="shared" si="0"/>
        <v>299856</v>
      </c>
      <c r="K12" s="1686">
        <f t="shared" si="0"/>
        <v>51080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560871</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560871</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86648</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900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87548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28668</v>
      </c>
      <c r="D65" s="466">
        <v>12592</v>
      </c>
      <c r="E65" s="466">
        <v>36</v>
      </c>
      <c r="F65" s="467">
        <v>6709</v>
      </c>
      <c r="G65" s="466">
        <v>4188</v>
      </c>
      <c r="H65" s="466"/>
      <c r="I65" s="466">
        <v>11927</v>
      </c>
      <c r="J65" s="467">
        <v>4260</v>
      </c>
      <c r="K65" s="466">
        <v>7193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28668</v>
      </c>
      <c r="D67" s="1686">
        <f t="shared" ref="D67:K67" si="2">SUM(D65:D66)</f>
        <v>12592</v>
      </c>
      <c r="E67" s="1686">
        <f t="shared" si="2"/>
        <v>36</v>
      </c>
      <c r="F67" s="1686">
        <f t="shared" si="2"/>
        <v>6709</v>
      </c>
      <c r="G67" s="1686">
        <f t="shared" si="2"/>
        <v>4188</v>
      </c>
      <c r="H67" s="1686">
        <f t="shared" si="2"/>
        <v>0</v>
      </c>
      <c r="I67" s="1686">
        <f t="shared" si="2"/>
        <v>11927</v>
      </c>
      <c r="J67" s="1686">
        <f t="shared" si="2"/>
        <v>4260</v>
      </c>
      <c r="K67" s="1686">
        <f t="shared" si="2"/>
        <v>7193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48483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f>16270</f>
        <v>16270</v>
      </c>
      <c r="D71" s="468"/>
      <c r="E71" s="468"/>
      <c r="F71" s="468"/>
      <c r="G71" s="468"/>
      <c r="H71" s="468"/>
      <c r="I71" s="468"/>
      <c r="J71" s="468"/>
      <c r="K71" s="468"/>
    </row>
    <row r="72" spans="1:11" ht="12.75" customHeight="1" x14ac:dyDescent="0.2">
      <c r="A72" s="463" t="s">
        <v>24</v>
      </c>
      <c r="B72" s="470">
        <v>1614</v>
      </c>
      <c r="C72" s="551">
        <v>1406</v>
      </c>
      <c r="D72" s="468"/>
      <c r="E72" s="468"/>
      <c r="F72" s="468"/>
      <c r="G72" s="468"/>
      <c r="H72" s="468"/>
      <c r="I72" s="468"/>
      <c r="J72" s="468"/>
      <c r="K72" s="468"/>
    </row>
    <row r="73" spans="1:11" ht="12.75" customHeight="1" x14ac:dyDescent="0.2">
      <c r="A73" s="463" t="s">
        <v>998</v>
      </c>
      <c r="B73" s="470">
        <v>1620</v>
      </c>
      <c r="C73" s="551">
        <v>4734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70893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10296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17578</v>
      </c>
      <c r="D79" s="466"/>
      <c r="E79" s="468"/>
      <c r="F79" s="468"/>
      <c r="G79" s="468"/>
      <c r="H79" s="468"/>
      <c r="I79" s="468"/>
      <c r="J79" s="468"/>
      <c r="K79" s="468"/>
    </row>
    <row r="80" spans="1:11" ht="12.75" customHeight="1" x14ac:dyDescent="0.2">
      <c r="A80" s="463" t="s">
        <v>551</v>
      </c>
      <c r="B80" s="470">
        <v>1730</v>
      </c>
      <c r="C80" s="551">
        <v>1894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29768</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632</v>
      </c>
      <c r="E95" s="521"/>
      <c r="F95" s="521"/>
      <c r="G95" s="521"/>
      <c r="H95" s="521"/>
      <c r="I95" s="521"/>
      <c r="J95" s="521"/>
      <c r="K95" s="521"/>
    </row>
    <row r="96" spans="1:11" ht="12.75" customHeight="1" x14ac:dyDescent="0.2">
      <c r="A96" s="463" t="s">
        <v>391</v>
      </c>
      <c r="B96" s="470">
        <v>1920</v>
      </c>
      <c r="C96" s="551">
        <v>24256</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22097</v>
      </c>
      <c r="D98" s="466"/>
      <c r="E98" s="512"/>
      <c r="F98" s="466"/>
      <c r="G98" s="512"/>
      <c r="H98" s="512"/>
      <c r="I98" s="510"/>
      <c r="J98" s="512"/>
      <c r="K98" s="512"/>
    </row>
    <row r="99" spans="1:12" ht="12.75" customHeight="1" x14ac:dyDescent="0.2">
      <c r="A99" s="463" t="s">
        <v>821</v>
      </c>
      <c r="B99" s="470">
        <v>1950</v>
      </c>
      <c r="C99" s="489">
        <v>13335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4921</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1043</v>
      </c>
      <c r="D107" s="466">
        <v>271</v>
      </c>
      <c r="E107" s="466"/>
      <c r="F107" s="466"/>
      <c r="G107" s="466"/>
      <c r="H107" s="466"/>
      <c r="I107" s="466"/>
      <c r="J107" s="467"/>
      <c r="K107" s="466"/>
    </row>
    <row r="108" spans="1:12" ht="12.75" customHeight="1" thickBot="1" x14ac:dyDescent="0.25">
      <c r="A108" s="1706" t="s">
        <v>487</v>
      </c>
      <c r="B108" s="1710"/>
      <c r="C108" s="1705">
        <f>SUM(C95:C107)</f>
        <v>65652</v>
      </c>
      <c r="D108" s="1705">
        <f t="shared" ref="D108:K108" si="3">SUM(D95:D107)</f>
        <v>903</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3877584</v>
      </c>
      <c r="D109" s="1713">
        <f t="shared" si="4"/>
        <v>626461</v>
      </c>
      <c r="E109" s="1713">
        <f t="shared" si="4"/>
        <v>314</v>
      </c>
      <c r="F109" s="1713">
        <f t="shared" si="4"/>
        <v>211032</v>
      </c>
      <c r="G109" s="1713">
        <f t="shared" si="4"/>
        <v>290068</v>
      </c>
      <c r="H109" s="1713">
        <f t="shared" si="4"/>
        <v>0</v>
      </c>
      <c r="I109" s="1713">
        <f t="shared" si="4"/>
        <v>65692</v>
      </c>
      <c r="J109" s="1713">
        <f t="shared" si="4"/>
        <v>304116</v>
      </c>
      <c r="K109" s="1700">
        <f t="shared" si="4"/>
        <v>58273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670806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670806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27082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27082</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4293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4293</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2333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9291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173970</v>
      </c>
      <c r="G152" s="467"/>
      <c r="H152" s="468"/>
      <c r="I152" s="468"/>
      <c r="J152" s="468"/>
      <c r="K152" s="468"/>
    </row>
    <row r="153" spans="1:11" ht="12.75" customHeight="1" x14ac:dyDescent="0.2">
      <c r="A153" s="463" t="s">
        <v>1057</v>
      </c>
      <c r="B153" s="562">
        <v>3510</v>
      </c>
      <c r="C153" s="551"/>
      <c r="D153" s="466"/>
      <c r="E153" s="561"/>
      <c r="F153" s="466">
        <v>86755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260725</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176141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39" t="s">
        <v>398</v>
      </c>
      <c r="B169" s="2140"/>
      <c r="C169" s="1720">
        <f t="shared" ref="C169:K169" si="6">SUM(C132,C141,C145,C146:C150,C155,C156:C167,C168)</f>
        <v>219890</v>
      </c>
      <c r="D169" s="1720">
        <f t="shared" si="6"/>
        <v>0</v>
      </c>
      <c r="E169" s="1720">
        <f t="shared" si="6"/>
        <v>0</v>
      </c>
      <c r="F169" s="1720">
        <f t="shared" si="6"/>
        <v>260725</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890696</v>
      </c>
      <c r="D170" s="1713">
        <f t="shared" si="7"/>
        <v>0</v>
      </c>
      <c r="E170" s="1713">
        <f t="shared" si="7"/>
        <v>0</v>
      </c>
      <c r="F170" s="1713">
        <f t="shared" si="7"/>
        <v>260725</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1" t="s">
        <v>1492</v>
      </c>
      <c r="B172" s="214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5" t="s">
        <v>1665</v>
      </c>
      <c r="B175" s="214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49" t="s">
        <v>1664</v>
      </c>
      <c r="B176" s="215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7" t="s">
        <v>785</v>
      </c>
      <c r="B181" s="214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3" t="s">
        <v>1803</v>
      </c>
      <c r="B182" s="214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52321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52321</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98602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30312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128914</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133315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133315</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16113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16113</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0</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23752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1936</v>
      </c>
      <c r="B261" s="470">
        <v>4981</v>
      </c>
      <c r="C261" s="575"/>
      <c r="D261" s="576"/>
      <c r="E261" s="468"/>
      <c r="F261" s="576"/>
      <c r="G261" s="576"/>
      <c r="H261" s="468"/>
      <c r="I261" s="468"/>
      <c r="J261" s="468"/>
      <c r="K261" s="468"/>
    </row>
    <row r="262" spans="1:11" ht="12.75" customHeight="1" thickTop="1" thickBot="1" x14ac:dyDescent="0.25">
      <c r="A262" s="1928"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8465</v>
      </c>
      <c r="D263" s="576"/>
      <c r="E263" s="468"/>
      <c r="F263" s="576"/>
      <c r="G263" s="576"/>
      <c r="H263" s="468"/>
      <c r="I263" s="468"/>
      <c r="J263" s="468"/>
      <c r="K263" s="468"/>
    </row>
    <row r="264" spans="1:11" ht="12.75" customHeight="1" thickTop="1" thickBot="1" x14ac:dyDescent="0.25">
      <c r="A264" s="463" t="s">
        <v>377</v>
      </c>
      <c r="B264" s="470">
        <v>4992</v>
      </c>
      <c r="C264" s="575">
        <v>45279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408159</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408159</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5176439</v>
      </c>
      <c r="D268" s="1713">
        <f t="shared" si="12"/>
        <v>626461</v>
      </c>
      <c r="E268" s="1713">
        <f t="shared" si="12"/>
        <v>314</v>
      </c>
      <c r="F268" s="1713">
        <f t="shared" si="12"/>
        <v>471757</v>
      </c>
      <c r="G268" s="1713">
        <f t="shared" si="12"/>
        <v>290068</v>
      </c>
      <c r="H268" s="1713">
        <f t="shared" si="12"/>
        <v>0</v>
      </c>
      <c r="I268" s="1713">
        <f t="shared" si="12"/>
        <v>65692</v>
      </c>
      <c r="J268" s="1713">
        <f t="shared" si="12"/>
        <v>304116</v>
      </c>
      <c r="K268" s="1700">
        <f t="shared" si="12"/>
        <v>58273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&amp;L&amp;8Printed Date: &amp;D
&amp;F&amp;CThe accompanying notes are an integral part of these financial satements.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2" activePane="bottomLeft" state="frozen"/>
      <selection pane="bottomLeft" activeCell="A302" sqref="A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7" t="s">
        <v>297</v>
      </c>
      <c r="B3" s="215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2172948</v>
      </c>
      <c r="D5" s="466">
        <v>162784</v>
      </c>
      <c r="E5" s="466">
        <v>39677</v>
      </c>
      <c r="F5" s="466">
        <v>86372</v>
      </c>
      <c r="G5" s="466">
        <v>50445</v>
      </c>
      <c r="H5" s="466"/>
      <c r="I5" s="467"/>
      <c r="J5" s="467"/>
      <c r="K5" s="1669">
        <f>SUM(C5:J5)</f>
        <v>2512226</v>
      </c>
      <c r="L5" s="466">
        <f>1534930+9290+1034926+27650</f>
        <v>2606796</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v>130885</v>
      </c>
      <c r="D7" s="467">
        <v>10561</v>
      </c>
      <c r="E7" s="467">
        <v>2128</v>
      </c>
      <c r="F7" s="467">
        <v>4624</v>
      </c>
      <c r="G7" s="467"/>
      <c r="H7" s="467"/>
      <c r="I7" s="467"/>
      <c r="J7" s="467"/>
      <c r="K7" s="1669">
        <f t="shared" ref="K7:K32" si="0">SUM(C7:J7)</f>
        <v>148198</v>
      </c>
      <c r="L7" s="466">
        <f>-1034926-27650+1224191</f>
        <v>161615</v>
      </c>
    </row>
    <row r="8" spans="1:14" x14ac:dyDescent="0.2">
      <c r="A8" s="1504" t="s">
        <v>164</v>
      </c>
      <c r="B8" s="614">
        <v>1200</v>
      </c>
      <c r="C8" s="466">
        <v>361427</v>
      </c>
      <c r="D8" s="466">
        <v>63895</v>
      </c>
      <c r="E8" s="466">
        <v>3464</v>
      </c>
      <c r="F8" s="466">
        <v>2254</v>
      </c>
      <c r="G8" s="466"/>
      <c r="H8" s="466"/>
      <c r="I8" s="467"/>
      <c r="J8" s="467"/>
      <c r="K8" s="1669">
        <f t="shared" si="0"/>
        <v>431040</v>
      </c>
      <c r="L8" s="466">
        <v>516560</v>
      </c>
    </row>
    <row r="9" spans="1:14" x14ac:dyDescent="0.2">
      <c r="A9" s="1504" t="s">
        <v>721</v>
      </c>
      <c r="B9" s="614" t="s">
        <v>968</v>
      </c>
      <c r="C9" s="467">
        <v>30915</v>
      </c>
      <c r="D9" s="467">
        <v>687</v>
      </c>
      <c r="E9" s="467">
        <v>48</v>
      </c>
      <c r="F9" s="467"/>
      <c r="G9" s="467"/>
      <c r="H9" s="467"/>
      <c r="I9" s="467"/>
      <c r="J9" s="467"/>
      <c r="K9" s="1669">
        <f t="shared" si="0"/>
        <v>31650</v>
      </c>
      <c r="L9" s="466">
        <v>52917</v>
      </c>
    </row>
    <row r="10" spans="1:14" x14ac:dyDescent="0.2">
      <c r="A10" s="1504" t="s">
        <v>722</v>
      </c>
      <c r="B10" s="614">
        <v>1250</v>
      </c>
      <c r="C10" s="466">
        <v>120213</v>
      </c>
      <c r="D10" s="466">
        <v>29358</v>
      </c>
      <c r="E10" s="466">
        <v>700</v>
      </c>
      <c r="F10" s="466">
        <v>403</v>
      </c>
      <c r="G10" s="466"/>
      <c r="H10" s="466"/>
      <c r="I10" s="467"/>
      <c r="J10" s="467"/>
      <c r="K10" s="1669">
        <f t="shared" si="0"/>
        <v>150674</v>
      </c>
      <c r="L10" s="466">
        <v>113132</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3741</v>
      </c>
      <c r="D13" s="466">
        <v>4</v>
      </c>
      <c r="E13" s="466"/>
      <c r="F13" s="466">
        <v>3236</v>
      </c>
      <c r="G13" s="466"/>
      <c r="H13" s="466"/>
      <c r="I13" s="467"/>
      <c r="J13" s="467"/>
      <c r="K13" s="1669">
        <f t="shared" si="0"/>
        <v>6981</v>
      </c>
      <c r="L13" s="466">
        <v>7818</v>
      </c>
    </row>
    <row r="14" spans="1:14" x14ac:dyDescent="0.2">
      <c r="A14" s="1504" t="s">
        <v>963</v>
      </c>
      <c r="B14" s="614">
        <v>1500</v>
      </c>
      <c r="C14" s="466">
        <v>120483</v>
      </c>
      <c r="D14" s="466">
        <v>1941</v>
      </c>
      <c r="E14" s="466">
        <v>29240</v>
      </c>
      <c r="F14" s="466">
        <v>10559</v>
      </c>
      <c r="G14" s="466">
        <v>14138</v>
      </c>
      <c r="H14" s="466">
        <v>11539</v>
      </c>
      <c r="I14" s="467"/>
      <c r="J14" s="467"/>
      <c r="K14" s="1669">
        <f t="shared" si="0"/>
        <v>187900</v>
      </c>
      <c r="L14" s="466">
        <v>215660</v>
      </c>
    </row>
    <row r="15" spans="1:14" x14ac:dyDescent="0.2">
      <c r="A15" s="1504" t="s">
        <v>964</v>
      </c>
      <c r="B15" s="614">
        <v>1600</v>
      </c>
      <c r="C15" s="466">
        <v>1050</v>
      </c>
      <c r="D15" s="466">
        <v>232</v>
      </c>
      <c r="E15" s="466"/>
      <c r="F15" s="466"/>
      <c r="G15" s="466"/>
      <c r="H15" s="466"/>
      <c r="I15" s="467"/>
      <c r="J15" s="467"/>
      <c r="K15" s="1669">
        <f t="shared" si="0"/>
        <v>1282</v>
      </c>
      <c r="L15" s="466">
        <v>772</v>
      </c>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66025</v>
      </c>
      <c r="D17" s="467">
        <v>1894</v>
      </c>
      <c r="E17" s="467"/>
      <c r="F17" s="467"/>
      <c r="G17" s="467"/>
      <c r="H17" s="467"/>
      <c r="I17" s="467"/>
      <c r="J17" s="467"/>
      <c r="K17" s="1669">
        <f t="shared" si="0"/>
        <v>67919</v>
      </c>
      <c r="L17" s="466">
        <v>69750</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v>151358</v>
      </c>
      <c r="I22" s="616"/>
      <c r="J22" s="477"/>
      <c r="K22" s="1669">
        <f t="shared" si="0"/>
        <v>151358</v>
      </c>
      <c r="L22" s="471">
        <v>155500</v>
      </c>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3007687</v>
      </c>
      <c r="D33" s="1668">
        <f t="shared" ref="D33:L33" si="1">SUM(D5:D32)</f>
        <v>271356</v>
      </c>
      <c r="E33" s="1668">
        <f t="shared" si="1"/>
        <v>75257</v>
      </c>
      <c r="F33" s="1668">
        <f t="shared" si="1"/>
        <v>107448</v>
      </c>
      <c r="G33" s="1668">
        <f t="shared" si="1"/>
        <v>64583</v>
      </c>
      <c r="H33" s="1668">
        <f t="shared" si="1"/>
        <v>162897</v>
      </c>
      <c r="I33" s="1668">
        <f t="shared" si="1"/>
        <v>0</v>
      </c>
      <c r="J33" s="1668">
        <f t="shared" si="1"/>
        <v>0</v>
      </c>
      <c r="K33" s="1668">
        <f t="shared" si="1"/>
        <v>3689228</v>
      </c>
      <c r="L33" s="1668">
        <f t="shared" si="1"/>
        <v>3900520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v>1000</v>
      </c>
    </row>
    <row r="37" spans="1:14" x14ac:dyDescent="0.2">
      <c r="A37" s="1504" t="s">
        <v>1090</v>
      </c>
      <c r="B37" s="614">
        <v>2120</v>
      </c>
      <c r="C37" s="466">
        <v>109301</v>
      </c>
      <c r="D37" s="466">
        <v>2920</v>
      </c>
      <c r="E37" s="466">
        <v>8675</v>
      </c>
      <c r="F37" s="466">
        <v>396</v>
      </c>
      <c r="G37" s="466"/>
      <c r="H37" s="466"/>
      <c r="I37" s="467"/>
      <c r="J37" s="467"/>
      <c r="K37" s="1669">
        <f t="shared" si="2"/>
        <v>121292</v>
      </c>
      <c r="L37" s="466">
        <v>127970</v>
      </c>
    </row>
    <row r="38" spans="1:14" x14ac:dyDescent="0.2">
      <c r="A38" s="1504" t="s">
        <v>198</v>
      </c>
      <c r="B38" s="614">
        <v>2130</v>
      </c>
      <c r="C38" s="466">
        <v>35494</v>
      </c>
      <c r="D38" s="466">
        <v>27</v>
      </c>
      <c r="E38" s="466">
        <v>6558</v>
      </c>
      <c r="F38" s="466"/>
      <c r="G38" s="466"/>
      <c r="H38" s="466"/>
      <c r="I38" s="467"/>
      <c r="J38" s="467"/>
      <c r="K38" s="1669">
        <f t="shared" si="2"/>
        <v>42079</v>
      </c>
      <c r="L38" s="466">
        <v>52100</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v>84961</v>
      </c>
      <c r="D40" s="466">
        <v>2251</v>
      </c>
      <c r="E40" s="466"/>
      <c r="F40" s="466"/>
      <c r="G40" s="466"/>
      <c r="H40" s="466"/>
      <c r="I40" s="467"/>
      <c r="J40" s="467"/>
      <c r="K40" s="1669">
        <f t="shared" si="2"/>
        <v>87212</v>
      </c>
      <c r="L40" s="466">
        <v>88210</v>
      </c>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229756</v>
      </c>
      <c r="D42" s="1668">
        <f t="shared" ref="D42:L42" si="3">SUM(D36:D41)</f>
        <v>5198</v>
      </c>
      <c r="E42" s="1668">
        <f t="shared" si="3"/>
        <v>15233</v>
      </c>
      <c r="F42" s="1668">
        <f t="shared" si="3"/>
        <v>396</v>
      </c>
      <c r="G42" s="1668">
        <f t="shared" si="3"/>
        <v>0</v>
      </c>
      <c r="H42" s="1668">
        <f t="shared" si="3"/>
        <v>0</v>
      </c>
      <c r="I42" s="1668">
        <f t="shared" si="3"/>
        <v>0</v>
      </c>
      <c r="J42" s="1668">
        <f t="shared" si="3"/>
        <v>0</v>
      </c>
      <c r="K42" s="1668">
        <f t="shared" si="3"/>
        <v>250583</v>
      </c>
      <c r="L42" s="1668">
        <f t="shared" si="3"/>
        <v>269280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34887</v>
      </c>
      <c r="F44" s="481"/>
      <c r="G44" s="481"/>
      <c r="H44" s="481"/>
      <c r="I44" s="467"/>
      <c r="J44" s="467"/>
      <c r="K44" s="1670">
        <f>SUM(C44:J44)</f>
        <v>34887</v>
      </c>
      <c r="L44" s="481">
        <v>48043</v>
      </c>
    </row>
    <row r="45" spans="1:14" x14ac:dyDescent="0.2">
      <c r="A45" s="1504" t="s">
        <v>815</v>
      </c>
      <c r="B45" s="614">
        <v>2220</v>
      </c>
      <c r="C45" s="466">
        <v>86034</v>
      </c>
      <c r="D45" s="466">
        <v>12792</v>
      </c>
      <c r="E45" s="466">
        <v>41490</v>
      </c>
      <c r="F45" s="466">
        <v>118125</v>
      </c>
      <c r="G45" s="466"/>
      <c r="H45" s="466">
        <v>4879</v>
      </c>
      <c r="I45" s="467"/>
      <c r="J45" s="467"/>
      <c r="K45" s="1670">
        <f>SUM(C45:J45)</f>
        <v>263320</v>
      </c>
      <c r="L45" s="466">
        <v>286922</v>
      </c>
    </row>
    <row r="46" spans="1:14" x14ac:dyDescent="0.2">
      <c r="A46" s="1504" t="s">
        <v>816</v>
      </c>
      <c r="B46" s="614">
        <v>2230</v>
      </c>
      <c r="C46" s="466"/>
      <c r="D46" s="466"/>
      <c r="E46" s="466"/>
      <c r="F46" s="466"/>
      <c r="G46" s="466"/>
      <c r="H46" s="466"/>
      <c r="I46" s="467"/>
      <c r="J46" s="467"/>
      <c r="K46" s="1670">
        <f>SUM(C46:J46)</f>
        <v>0</v>
      </c>
      <c r="L46" s="466">
        <v>1500</v>
      </c>
    </row>
    <row r="47" spans="1:14" ht="12.75" customHeight="1" thickBot="1" x14ac:dyDescent="0.25">
      <c r="A47" s="1666" t="s">
        <v>561</v>
      </c>
      <c r="B47" s="1667" t="s">
        <v>32</v>
      </c>
      <c r="C47" s="1668">
        <f>SUM(C44:C46)</f>
        <v>86034</v>
      </c>
      <c r="D47" s="1668">
        <f t="shared" ref="D47:K47" si="4">SUM(D44:D46)</f>
        <v>12792</v>
      </c>
      <c r="E47" s="1668">
        <f t="shared" si="4"/>
        <v>76377</v>
      </c>
      <c r="F47" s="1668">
        <f t="shared" si="4"/>
        <v>118125</v>
      </c>
      <c r="G47" s="1668">
        <f t="shared" si="4"/>
        <v>0</v>
      </c>
      <c r="H47" s="1668">
        <f t="shared" si="4"/>
        <v>4879</v>
      </c>
      <c r="I47" s="1668">
        <f t="shared" si="4"/>
        <v>0</v>
      </c>
      <c r="J47" s="1668">
        <f t="shared" si="4"/>
        <v>0</v>
      </c>
      <c r="K47" s="1668">
        <f t="shared" si="4"/>
        <v>298207</v>
      </c>
      <c r="L47" s="1668">
        <f>SUM(L44:L46)</f>
        <v>336465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8700+4321+1083+6677+1192</f>
        <v>21973</v>
      </c>
      <c r="F49" s="481">
        <v>9364</v>
      </c>
      <c r="G49" s="481"/>
      <c r="H49" s="481">
        <v>8305</v>
      </c>
      <c r="I49" s="467"/>
      <c r="J49" s="467"/>
      <c r="K49" s="1670">
        <f>SUM(C49:J49)</f>
        <v>39642</v>
      </c>
      <c r="L49" s="481">
        <v>62800</v>
      </c>
    </row>
    <row r="50" spans="1:14" x14ac:dyDescent="0.2">
      <c r="A50" s="1504" t="s">
        <v>818</v>
      </c>
      <c r="B50" s="614">
        <v>2320</v>
      </c>
      <c r="C50" s="466">
        <v>105718</v>
      </c>
      <c r="D50" s="466">
        <v>31905</v>
      </c>
      <c r="E50" s="466"/>
      <c r="F50" s="466">
        <v>21</v>
      </c>
      <c r="G50" s="466"/>
      <c r="H50" s="466">
        <v>1008</v>
      </c>
      <c r="I50" s="467"/>
      <c r="J50" s="467"/>
      <c r="K50" s="1670">
        <f>SUM(C50:J50)</f>
        <v>138652</v>
      </c>
      <c r="L50" s="466">
        <v>141993</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105718</v>
      </c>
      <c r="D53" s="1668">
        <f t="shared" ref="D53:L53" si="5">SUM(D49:D52)</f>
        <v>31905</v>
      </c>
      <c r="E53" s="1668">
        <f t="shared" si="5"/>
        <v>21973</v>
      </c>
      <c r="F53" s="1668">
        <f t="shared" si="5"/>
        <v>9385</v>
      </c>
      <c r="G53" s="1668">
        <f t="shared" si="5"/>
        <v>0</v>
      </c>
      <c r="H53" s="1668">
        <f t="shared" si="5"/>
        <v>9313</v>
      </c>
      <c r="I53" s="1668">
        <f t="shared" si="5"/>
        <v>0</v>
      </c>
      <c r="J53" s="1668">
        <f t="shared" si="5"/>
        <v>0</v>
      </c>
      <c r="K53" s="1668">
        <f t="shared" si="5"/>
        <v>178294</v>
      </c>
      <c r="L53" s="1668">
        <f t="shared" si="5"/>
        <v>204793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266976</v>
      </c>
      <c r="D55" s="481">
        <v>32894</v>
      </c>
      <c r="E55" s="481">
        <v>5284</v>
      </c>
      <c r="F55" s="481">
        <v>1517</v>
      </c>
      <c r="G55" s="481"/>
      <c r="H55" s="481">
        <v>1026</v>
      </c>
      <c r="I55" s="467"/>
      <c r="J55" s="467"/>
      <c r="K55" s="1670">
        <f>SUM(C55:J55)</f>
        <v>307697</v>
      </c>
      <c r="L55" s="481">
        <v>337982</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266976</v>
      </c>
      <c r="D57" s="1672">
        <f t="shared" ref="D57:K57" si="6">SUM(D55:D56)</f>
        <v>32894</v>
      </c>
      <c r="E57" s="1672">
        <f t="shared" si="6"/>
        <v>5284</v>
      </c>
      <c r="F57" s="1672">
        <f t="shared" si="6"/>
        <v>1517</v>
      </c>
      <c r="G57" s="1672">
        <f t="shared" si="6"/>
        <v>0</v>
      </c>
      <c r="H57" s="1672">
        <f t="shared" si="6"/>
        <v>1026</v>
      </c>
      <c r="I57" s="1672">
        <f t="shared" si="6"/>
        <v>0</v>
      </c>
      <c r="J57" s="1672">
        <f t="shared" si="6"/>
        <v>0</v>
      </c>
      <c r="K57" s="1672">
        <f t="shared" si="6"/>
        <v>307697</v>
      </c>
      <c r="L57" s="1668">
        <f>SUM(L55:L56)</f>
        <v>337982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84682</v>
      </c>
      <c r="D60" s="466">
        <v>8736</v>
      </c>
      <c r="E60" s="466">
        <v>895</v>
      </c>
      <c r="F60" s="466">
        <v>1913</v>
      </c>
      <c r="G60" s="466"/>
      <c r="H60" s="466"/>
      <c r="I60" s="467"/>
      <c r="J60" s="467"/>
      <c r="K60" s="1670">
        <f t="shared" si="7"/>
        <v>96226</v>
      </c>
      <c r="L60" s="466">
        <v>106007</v>
      </c>
      <c r="M60" s="609"/>
      <c r="N60" s="609"/>
    </row>
    <row r="61" spans="1:14" s="343" customFormat="1" x14ac:dyDescent="0.2">
      <c r="A61" s="1504" t="s">
        <v>197</v>
      </c>
      <c r="B61" s="614">
        <v>2540</v>
      </c>
      <c r="C61" s="466"/>
      <c r="D61" s="466"/>
      <c r="E61" s="466"/>
      <c r="F61" s="466"/>
      <c r="G61" s="466"/>
      <c r="H61" s="466"/>
      <c r="I61" s="467"/>
      <c r="J61" s="467"/>
      <c r="K61" s="1670">
        <f t="shared" si="7"/>
        <v>0</v>
      </c>
      <c r="L61" s="466"/>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119772</v>
      </c>
      <c r="D63" s="466">
        <v>24449</v>
      </c>
      <c r="E63" s="466">
        <v>4818</v>
      </c>
      <c r="F63" s="466">
        <v>128852</v>
      </c>
      <c r="G63" s="466">
        <v>694</v>
      </c>
      <c r="H63" s="466">
        <v>60</v>
      </c>
      <c r="I63" s="467"/>
      <c r="J63" s="467"/>
      <c r="K63" s="1670">
        <f t="shared" si="7"/>
        <v>278645</v>
      </c>
      <c r="L63" s="466">
        <v>311603</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204454</v>
      </c>
      <c r="D65" s="1668">
        <f t="shared" ref="D65:L65" si="8">SUM(D59:D64)</f>
        <v>33185</v>
      </c>
      <c r="E65" s="1668">
        <f t="shared" si="8"/>
        <v>5713</v>
      </c>
      <c r="F65" s="1668">
        <f t="shared" si="8"/>
        <v>130765</v>
      </c>
      <c r="G65" s="1668">
        <f t="shared" si="8"/>
        <v>694</v>
      </c>
      <c r="H65" s="1668">
        <f t="shared" si="8"/>
        <v>60</v>
      </c>
      <c r="I65" s="1668">
        <f t="shared" si="8"/>
        <v>0</v>
      </c>
      <c r="J65" s="1668">
        <f t="shared" si="8"/>
        <v>0</v>
      </c>
      <c r="K65" s="1668">
        <f t="shared" si="8"/>
        <v>374871</v>
      </c>
      <c r="L65" s="1668">
        <f t="shared" si="8"/>
        <v>417610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892938</v>
      </c>
      <c r="D74" s="1675">
        <f t="shared" ref="D74:K74" si="10">SUM(D42,D47,D53,D57,D65,D72,D73)</f>
        <v>115974</v>
      </c>
      <c r="E74" s="1675">
        <f t="shared" si="10"/>
        <v>124580</v>
      </c>
      <c r="F74" s="1675">
        <f t="shared" si="10"/>
        <v>260188</v>
      </c>
      <c r="G74" s="1675">
        <f t="shared" si="10"/>
        <v>694</v>
      </c>
      <c r="H74" s="1675">
        <f t="shared" si="10"/>
        <v>15278</v>
      </c>
      <c r="I74" s="1675">
        <f t="shared" si="10"/>
        <v>0</v>
      </c>
      <c r="J74" s="1675">
        <f t="shared" si="10"/>
        <v>0</v>
      </c>
      <c r="K74" s="1675">
        <f t="shared" si="10"/>
        <v>1409652</v>
      </c>
      <c r="L74" s="1675">
        <f>SUM(L42,L47,L53,L57,L65,L72,L73)</f>
        <v>1566130</v>
      </c>
    </row>
    <row r="75" spans="1:14" s="259" customFormat="1" ht="15.75" customHeight="1" thickTop="1" thickBot="1" x14ac:dyDescent="0.25">
      <c r="A75" s="1610" t="s">
        <v>47</v>
      </c>
      <c r="B75" s="1611" t="s">
        <v>575</v>
      </c>
      <c r="C75" s="573"/>
      <c r="D75" s="573"/>
      <c r="E75" s="573">
        <v>480</v>
      </c>
      <c r="F75" s="573">
        <v>1209</v>
      </c>
      <c r="G75" s="573"/>
      <c r="H75" s="573"/>
      <c r="I75" s="531"/>
      <c r="J75" s="531"/>
      <c r="K75" s="1668">
        <f>SUM(C75:J75)</f>
        <v>1689</v>
      </c>
      <c r="L75" s="576">
        <v>1481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10174</v>
      </c>
      <c r="I78" s="477"/>
      <c r="J78" s="477"/>
      <c r="K78" s="1669">
        <f t="shared" ref="K78:K83" si="11">SUM(C78:J78)</f>
        <v>10174</v>
      </c>
      <c r="L78" s="481">
        <v>5500</v>
      </c>
    </row>
    <row r="79" spans="1:14" x14ac:dyDescent="0.2">
      <c r="A79" s="1504" t="s">
        <v>304</v>
      </c>
      <c r="B79" s="614">
        <v>4120</v>
      </c>
      <c r="C79" s="616"/>
      <c r="D79" s="616"/>
      <c r="E79" s="466">
        <v>68888</v>
      </c>
      <c r="F79" s="616"/>
      <c r="G79" s="616"/>
      <c r="H79" s="466"/>
      <c r="I79" s="477"/>
      <c r="J79" s="477"/>
      <c r="K79" s="1669">
        <f t="shared" si="11"/>
        <v>68888</v>
      </c>
      <c r="L79" s="466">
        <v>101888</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68888</v>
      </c>
      <c r="F84" s="616"/>
      <c r="G84" s="616"/>
      <c r="H84" s="1668">
        <f>SUM(H78:H83)</f>
        <v>10174</v>
      </c>
      <c r="I84" s="477"/>
      <c r="J84" s="477"/>
      <c r="K84" s="1668">
        <f>SUM(K78:K83)</f>
        <v>79062</v>
      </c>
      <c r="L84" s="1668">
        <f>SUM(L78:L83)</f>
        <v>107388</v>
      </c>
    </row>
    <row r="85" spans="1:12" ht="12.75" customHeight="1" thickTop="1" thickBot="1" x14ac:dyDescent="0.25">
      <c r="A85" s="1511" t="s">
        <v>255</v>
      </c>
      <c r="B85" s="635">
        <v>4210</v>
      </c>
      <c r="C85" s="616"/>
      <c r="D85" s="616"/>
      <c r="E85" s="636"/>
      <c r="F85" s="616"/>
      <c r="G85" s="616"/>
      <c r="H85" s="535">
        <v>4030</v>
      </c>
      <c r="I85" s="477"/>
      <c r="J85" s="477"/>
      <c r="K85" s="1675">
        <f>H85</f>
        <v>4030</v>
      </c>
      <c r="L85" s="530">
        <v>5025</v>
      </c>
    </row>
    <row r="86" spans="1:12" ht="12.75" customHeight="1" thickTop="1" thickBot="1" x14ac:dyDescent="0.25">
      <c r="A86" s="1512" t="s">
        <v>699</v>
      </c>
      <c r="B86" s="637">
        <v>4220</v>
      </c>
      <c r="C86" s="616"/>
      <c r="D86" s="616"/>
      <c r="E86" s="638"/>
      <c r="F86" s="616"/>
      <c r="G86" s="616"/>
      <c r="H86" s="467">
        <v>50669</v>
      </c>
      <c r="I86" s="477"/>
      <c r="J86" s="477"/>
      <c r="K86" s="1675">
        <f t="shared" ref="K86:K98" si="12">H86</f>
        <v>50669</v>
      </c>
      <c r="L86" s="530">
        <v>50500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v>20250</v>
      </c>
      <c r="I88" s="477"/>
      <c r="J88" s="477"/>
      <c r="K88" s="1675">
        <f t="shared" si="12"/>
        <v>20250</v>
      </c>
      <c r="L88" s="530">
        <v>25000</v>
      </c>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74949</v>
      </c>
      <c r="I92" s="477"/>
      <c r="J92" s="477"/>
      <c r="K92" s="1675">
        <f t="shared" si="12"/>
        <v>74949</v>
      </c>
      <c r="L92" s="1668">
        <f>SUM(L85:L91)</f>
        <v>80525</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68888</v>
      </c>
      <c r="F102" s="616"/>
      <c r="G102" s="616"/>
      <c r="H102" s="1675">
        <f>SUM(H84,H92,H100,H101)</f>
        <v>85123</v>
      </c>
      <c r="I102" s="477"/>
      <c r="J102" s="477"/>
      <c r="K102" s="1675">
        <f>SUM(K84,K92,K100,K101)</f>
        <v>154011</v>
      </c>
      <c r="L102" s="1675">
        <f>SUM(L84,L92,L100,L101)</f>
        <v>187913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3900625</v>
      </c>
      <c r="D114" s="1668">
        <f t="shared" ref="D114:K114" si="13">SUM(D33,D74,D75,D102,D112,D113)</f>
        <v>387330</v>
      </c>
      <c r="E114" s="1668">
        <f t="shared" si="13"/>
        <v>269205</v>
      </c>
      <c r="F114" s="1668">
        <f t="shared" si="13"/>
        <v>368845</v>
      </c>
      <c r="G114" s="1668">
        <f t="shared" si="13"/>
        <v>65277</v>
      </c>
      <c r="H114" s="1668">
        <f>SUM(H33,H74,H75,H102,H112,H113)</f>
        <v>263298</v>
      </c>
      <c r="I114" s="1668">
        <f t="shared" si="13"/>
        <v>0</v>
      </c>
      <c r="J114" s="1668">
        <f t="shared" si="13"/>
        <v>0</v>
      </c>
      <c r="K114" s="1668">
        <f t="shared" si="13"/>
        <v>5254580</v>
      </c>
      <c r="L114" s="1668">
        <f>SUM(L33,L74,L75,L102,L112,L113)</f>
        <v>5656044</v>
      </c>
    </row>
    <row r="115" spans="1:14" ht="13.5" thickTop="1" x14ac:dyDescent="0.2">
      <c r="A115" s="2176" t="s">
        <v>996</v>
      </c>
      <c r="B115" s="2177"/>
      <c r="C115" s="618"/>
      <c r="D115" s="618"/>
      <c r="E115" s="618"/>
      <c r="F115" s="618"/>
      <c r="G115" s="618"/>
      <c r="H115" s="618"/>
      <c r="I115" s="618"/>
      <c r="J115" s="618"/>
      <c r="K115" s="1682">
        <f>'Revenues 9-14'!C268-'Expenditures 15-22'!K114</f>
        <v>-78141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4" t="s">
        <v>296</v>
      </c>
      <c r="B117" s="215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v>94244</v>
      </c>
      <c r="F123" s="466"/>
      <c r="G123" s="466"/>
      <c r="H123" s="466"/>
      <c r="I123" s="467"/>
      <c r="J123" s="467"/>
      <c r="K123" s="1668">
        <f>SUM(C123:J123)</f>
        <v>94244</v>
      </c>
      <c r="L123" s="466">
        <v>95000</v>
      </c>
    </row>
    <row r="124" spans="1:14" ht="14.25" thickTop="1" thickBot="1" x14ac:dyDescent="0.25">
      <c r="A124" s="1504" t="s">
        <v>197</v>
      </c>
      <c r="B124" s="614">
        <v>2540</v>
      </c>
      <c r="C124" s="466">
        <f>5800+183978</f>
        <v>189778</v>
      </c>
      <c r="D124" s="466">
        <f>175+32164</f>
        <v>32339</v>
      </c>
      <c r="E124" s="466">
        <v>73799</v>
      </c>
      <c r="F124" s="466">
        <v>168772</v>
      </c>
      <c r="G124" s="466">
        <v>35654</v>
      </c>
      <c r="H124" s="466"/>
      <c r="I124" s="467"/>
      <c r="J124" s="467"/>
      <c r="K124" s="1668">
        <f>SUM(C124:J124)</f>
        <v>500342</v>
      </c>
      <c r="L124" s="466">
        <v>583900</v>
      </c>
    </row>
    <row r="125" spans="1:14" ht="14.25" thickTop="1" thickBot="1" x14ac:dyDescent="0.25">
      <c r="A125" s="1504" t="s">
        <v>953</v>
      </c>
      <c r="B125" s="614">
        <v>2550</v>
      </c>
      <c r="C125" s="466"/>
      <c r="D125" s="466"/>
      <c r="E125" s="466">
        <v>5057</v>
      </c>
      <c r="F125" s="466">
        <v>4648</v>
      </c>
      <c r="G125" s="466"/>
      <c r="H125" s="466"/>
      <c r="I125" s="467"/>
      <c r="J125" s="467"/>
      <c r="K125" s="1668">
        <f>SUM(C125:J125)</f>
        <v>9705</v>
      </c>
      <c r="L125" s="466">
        <v>30000</v>
      </c>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189778</v>
      </c>
      <c r="D127" s="1668">
        <f t="shared" ref="D127:L127" si="14">SUM(D122:D126)</f>
        <v>32339</v>
      </c>
      <c r="E127" s="1668">
        <f t="shared" si="14"/>
        <v>173100</v>
      </c>
      <c r="F127" s="1668">
        <f t="shared" si="14"/>
        <v>173420</v>
      </c>
      <c r="G127" s="1668">
        <f t="shared" si="14"/>
        <v>35654</v>
      </c>
      <c r="H127" s="1668">
        <f t="shared" si="14"/>
        <v>0</v>
      </c>
      <c r="I127" s="1668">
        <f t="shared" si="14"/>
        <v>0</v>
      </c>
      <c r="J127" s="1668">
        <f t="shared" si="14"/>
        <v>0</v>
      </c>
      <c r="K127" s="1668">
        <f t="shared" si="14"/>
        <v>604291</v>
      </c>
      <c r="L127" s="1668">
        <f t="shared" si="14"/>
        <v>708900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189778</v>
      </c>
      <c r="D129" s="1675">
        <f t="shared" ref="D129:L129" si="15">SUM(D120,D127,D128)</f>
        <v>32339</v>
      </c>
      <c r="E129" s="1675">
        <f t="shared" si="15"/>
        <v>173100</v>
      </c>
      <c r="F129" s="1675">
        <f t="shared" si="15"/>
        <v>173420</v>
      </c>
      <c r="G129" s="1675">
        <f t="shared" si="15"/>
        <v>35654</v>
      </c>
      <c r="H129" s="1675">
        <f t="shared" si="15"/>
        <v>0</v>
      </c>
      <c r="I129" s="1675">
        <f t="shared" si="15"/>
        <v>0</v>
      </c>
      <c r="J129" s="1675">
        <f t="shared" si="15"/>
        <v>0</v>
      </c>
      <c r="K129" s="1675">
        <f t="shared" si="15"/>
        <v>604291</v>
      </c>
      <c r="L129" s="1675">
        <f t="shared" si="15"/>
        <v>708900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6" t="s">
        <v>620</v>
      </c>
      <c r="B151" s="2148"/>
      <c r="C151" s="1668">
        <f>SUM(C129,C130,C139,C149,C150)</f>
        <v>189778</v>
      </c>
      <c r="D151" s="1668">
        <f t="shared" ref="D151:K151" si="16">SUM(D129,D130,D139,D149,D150)</f>
        <v>32339</v>
      </c>
      <c r="E151" s="1668">
        <f t="shared" si="16"/>
        <v>173100</v>
      </c>
      <c r="F151" s="1668">
        <f t="shared" si="16"/>
        <v>173420</v>
      </c>
      <c r="G151" s="1668">
        <f t="shared" si="16"/>
        <v>35654</v>
      </c>
      <c r="H151" s="1668">
        <f t="shared" si="16"/>
        <v>0</v>
      </c>
      <c r="I151" s="1668">
        <f t="shared" si="16"/>
        <v>0</v>
      </c>
      <c r="J151" s="1668">
        <f t="shared" si="16"/>
        <v>0</v>
      </c>
      <c r="K151" s="1668">
        <f t="shared" si="16"/>
        <v>604291</v>
      </c>
      <c r="L151" s="1668">
        <f>SUM(L129,L130,L139,L149,L150)</f>
        <v>708900</v>
      </c>
    </row>
    <row r="152" spans="1:14" ht="12.75" customHeight="1" thickTop="1" x14ac:dyDescent="0.2">
      <c r="A152" s="2169" t="s">
        <v>1178</v>
      </c>
      <c r="B152" s="2170"/>
      <c r="C152" s="618"/>
      <c r="D152" s="618"/>
      <c r="E152" s="618"/>
      <c r="F152" s="618"/>
      <c r="G152" s="618"/>
      <c r="H152" s="618"/>
      <c r="I152" s="618"/>
      <c r="J152" s="616"/>
      <c r="K152" s="1682">
        <f>'Revenues 9-14'!D268-'Expenditures 15-22'!K151</f>
        <v>22170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4" t="s">
        <v>621</v>
      </c>
      <c r="B154" s="215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1670</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76" t="s">
        <v>996</v>
      </c>
      <c r="B175" s="2177"/>
      <c r="C175" s="616"/>
      <c r="D175" s="616"/>
      <c r="E175" s="616"/>
      <c r="F175" s="616"/>
      <c r="G175" s="616"/>
      <c r="H175" s="618"/>
      <c r="I175" s="616"/>
      <c r="J175" s="616"/>
      <c r="K175" s="1682">
        <f>'Revenues 9-14'!E268-'Expenditures 15-22'!K174</f>
        <v>314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283790</v>
      </c>
      <c r="D182" s="466">
        <v>15726</v>
      </c>
      <c r="E182" s="466">
        <f>-27469+40467</f>
        <v>12998</v>
      </c>
      <c r="F182" s="466">
        <v>83683</v>
      </c>
      <c r="G182" s="466">
        <v>5100</v>
      </c>
      <c r="H182" s="466">
        <v>65</v>
      </c>
      <c r="I182" s="467"/>
      <c r="J182" s="467"/>
      <c r="K182" s="1669">
        <f>SUM(C182:J182)</f>
        <v>401362</v>
      </c>
      <c r="L182" s="466">
        <v>585400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283790</v>
      </c>
      <c r="D184" s="1675">
        <f t="shared" ref="D184:J184" si="17">SUM(D180,D182,D183)</f>
        <v>15726</v>
      </c>
      <c r="E184" s="1675">
        <f t="shared" si="17"/>
        <v>12998</v>
      </c>
      <c r="F184" s="1675">
        <f t="shared" si="17"/>
        <v>83683</v>
      </c>
      <c r="G184" s="1675">
        <f t="shared" si="17"/>
        <v>5100</v>
      </c>
      <c r="H184" s="1675">
        <f t="shared" si="17"/>
        <v>65</v>
      </c>
      <c r="I184" s="1675">
        <f t="shared" si="17"/>
        <v>0</v>
      </c>
      <c r="J184" s="1675">
        <f t="shared" si="17"/>
        <v>0</v>
      </c>
      <c r="K184" s="1675">
        <f>SUM(K180,K182,K183)</f>
        <v>401362</v>
      </c>
      <c r="L184" s="1675">
        <f>SUM(L180, L182:L183)</f>
        <v>585400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4593</v>
      </c>
      <c r="I205" s="616"/>
      <c r="J205" s="616"/>
      <c r="K205" s="1683">
        <f>SUM(H205)</f>
        <v>4593</v>
      </c>
      <c r="L205" s="535"/>
    </row>
    <row r="206" spans="1:14" ht="30" customHeight="1" x14ac:dyDescent="0.2">
      <c r="A206" s="681" t="s">
        <v>1671</v>
      </c>
      <c r="B206" s="672" t="s">
        <v>31</v>
      </c>
      <c r="C206" s="616"/>
      <c r="D206" s="616"/>
      <c r="E206" s="616"/>
      <c r="F206" s="616"/>
      <c r="G206" s="616"/>
      <c r="H206" s="466">
        <v>22876</v>
      </c>
      <c r="I206" s="616"/>
      <c r="J206" s="616"/>
      <c r="K206" s="1669">
        <f>SUM(H206)</f>
        <v>22876</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27469</v>
      </c>
      <c r="I208" s="616"/>
      <c r="J208" s="616"/>
      <c r="K208" s="1675">
        <f>SUM(K204,K205,K206,K207)</f>
        <v>27469</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283790</v>
      </c>
      <c r="D210" s="1668">
        <f>SUM(D184,D185)</f>
        <v>15726</v>
      </c>
      <c r="E210" s="1668">
        <f>SUM(E184,E185,E196)</f>
        <v>12998</v>
      </c>
      <c r="F210" s="1668">
        <f>SUM(F184,F185)</f>
        <v>83683</v>
      </c>
      <c r="G210" s="1668">
        <f>SUM(G184,G185)</f>
        <v>5100</v>
      </c>
      <c r="H210" s="1668">
        <f>SUM(H184,H185,H196,H208,H209)</f>
        <v>27534</v>
      </c>
      <c r="I210" s="1668">
        <f>SUM(I184,I185)</f>
        <v>0</v>
      </c>
      <c r="J210" s="1668">
        <f>SUM(J184,J185)</f>
        <v>0</v>
      </c>
      <c r="K210" s="1669">
        <f>SUM(K184,K185,K196,K208,K209)</f>
        <v>428831</v>
      </c>
      <c r="L210" s="1668">
        <f>SUM(L184,L185,L196,L208,L209)</f>
        <v>585400</v>
      </c>
    </row>
    <row r="211" spans="1:14" ht="13.5" thickTop="1" x14ac:dyDescent="0.2">
      <c r="A211" s="2176" t="s">
        <v>996</v>
      </c>
      <c r="B211" s="2177"/>
      <c r="C211" s="618"/>
      <c r="D211" s="618"/>
      <c r="E211" s="618"/>
      <c r="F211" s="618"/>
      <c r="G211" s="618"/>
      <c r="H211" s="618"/>
      <c r="I211" s="616"/>
      <c r="J211" s="616"/>
      <c r="K211" s="1682">
        <f>'Revenues 9-14'!F268-'Expenditures 15-22'!K210</f>
        <v>42926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1" t="s">
        <v>965</v>
      </c>
      <c r="B213" s="217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29775</v>
      </c>
      <c r="E215" s="616"/>
      <c r="F215" s="616"/>
      <c r="G215" s="616"/>
      <c r="H215" s="616"/>
      <c r="I215" s="616"/>
      <c r="J215" s="616"/>
      <c r="K215" s="1669">
        <f>D215</f>
        <v>29775</v>
      </c>
      <c r="L215" s="466">
        <f>13842+17173</f>
        <v>31015</v>
      </c>
    </row>
    <row r="216" spans="1:14" x14ac:dyDescent="0.2">
      <c r="A216" s="1504" t="s">
        <v>163</v>
      </c>
      <c r="B216" s="614" t="s">
        <v>967</v>
      </c>
      <c r="C216" s="616"/>
      <c r="D216" s="467">
        <f>3197+4749</f>
        <v>7946</v>
      </c>
      <c r="E216" s="616"/>
      <c r="F216" s="616"/>
      <c r="G216" s="616"/>
      <c r="H216" s="616"/>
      <c r="I216" s="616"/>
      <c r="J216" s="616"/>
      <c r="K216" s="1669">
        <f t="shared" ref="K216:K228" si="19">D216</f>
        <v>7946</v>
      </c>
      <c r="L216" s="466">
        <v>9693</v>
      </c>
    </row>
    <row r="217" spans="1:14" x14ac:dyDescent="0.2">
      <c r="A217" s="1504" t="s">
        <v>164</v>
      </c>
      <c r="B217" s="614">
        <v>1200</v>
      </c>
      <c r="C217" s="616"/>
      <c r="D217" s="466">
        <f>17555+15553</f>
        <v>33108</v>
      </c>
      <c r="E217" s="616"/>
      <c r="F217" s="616"/>
      <c r="G217" s="616"/>
      <c r="H217" s="616"/>
      <c r="I217" s="616"/>
      <c r="J217" s="616"/>
      <c r="K217" s="1669">
        <f t="shared" si="19"/>
        <v>33108</v>
      </c>
      <c r="L217" s="466">
        <v>37550</v>
      </c>
    </row>
    <row r="218" spans="1:14" x14ac:dyDescent="0.2">
      <c r="A218" s="1504" t="s">
        <v>278</v>
      </c>
      <c r="B218" s="614" t="s">
        <v>968</v>
      </c>
      <c r="C218" s="616"/>
      <c r="D218" s="467">
        <f>1035+688+288</f>
        <v>2011</v>
      </c>
      <c r="E218" s="616"/>
      <c r="F218" s="616"/>
      <c r="G218" s="616"/>
      <c r="H218" s="616"/>
      <c r="I218" s="616"/>
      <c r="J218" s="616"/>
      <c r="K218" s="1669">
        <f t="shared" si="19"/>
        <v>2011</v>
      </c>
      <c r="L218" s="466">
        <v>4750</v>
      </c>
    </row>
    <row r="219" spans="1:14" x14ac:dyDescent="0.2">
      <c r="A219" s="1504" t="s">
        <v>279</v>
      </c>
      <c r="B219" s="614">
        <v>1250</v>
      </c>
      <c r="C219" s="616"/>
      <c r="D219" s="466">
        <v>1056</v>
      </c>
      <c r="E219" s="616"/>
      <c r="F219" s="616"/>
      <c r="G219" s="616"/>
      <c r="H219" s="616"/>
      <c r="I219" s="616"/>
      <c r="J219" s="616"/>
      <c r="K219" s="1669">
        <f t="shared" si="19"/>
        <v>1056</v>
      </c>
      <c r="L219" s="466"/>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61</v>
      </c>
      <c r="E222" s="616"/>
      <c r="F222" s="616"/>
      <c r="G222" s="616"/>
      <c r="H222" s="616"/>
      <c r="I222" s="616"/>
      <c r="J222" s="616"/>
      <c r="K222" s="1669">
        <f t="shared" si="19"/>
        <v>61</v>
      </c>
      <c r="L222" s="466">
        <v>80</v>
      </c>
    </row>
    <row r="223" spans="1:14" x14ac:dyDescent="0.2">
      <c r="A223" s="1504" t="s">
        <v>963</v>
      </c>
      <c r="B223" s="614">
        <v>1500</v>
      </c>
      <c r="C223" s="616"/>
      <c r="D223" s="466">
        <f>1367+5396</f>
        <v>6763</v>
      </c>
      <c r="E223" s="616"/>
      <c r="F223" s="616"/>
      <c r="G223" s="616"/>
      <c r="H223" s="616"/>
      <c r="I223" s="616"/>
      <c r="J223" s="616"/>
      <c r="K223" s="1669">
        <f t="shared" si="19"/>
        <v>6763</v>
      </c>
      <c r="L223" s="466">
        <v>6900</v>
      </c>
    </row>
    <row r="224" spans="1:14" x14ac:dyDescent="0.2">
      <c r="A224" s="1504" t="s">
        <v>964</v>
      </c>
      <c r="B224" s="614">
        <v>1600</v>
      </c>
      <c r="C224" s="616"/>
      <c r="D224" s="466">
        <v>14</v>
      </c>
      <c r="E224" s="616"/>
      <c r="F224" s="616"/>
      <c r="G224" s="616"/>
      <c r="H224" s="616"/>
      <c r="I224" s="616"/>
      <c r="J224" s="616"/>
      <c r="K224" s="1669">
        <f t="shared" si="19"/>
        <v>14</v>
      </c>
      <c r="L224" s="466">
        <v>12</v>
      </c>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837</v>
      </c>
      <c r="E226" s="616"/>
      <c r="F226" s="616"/>
      <c r="G226" s="616"/>
      <c r="H226" s="616"/>
      <c r="I226" s="616"/>
      <c r="J226" s="616"/>
      <c r="K226" s="1669">
        <f t="shared" si="19"/>
        <v>837</v>
      </c>
      <c r="L226" s="466">
        <v>800</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81571</v>
      </c>
      <c r="E229" s="616"/>
      <c r="F229" s="616"/>
      <c r="G229" s="616"/>
      <c r="H229" s="616"/>
      <c r="I229" s="616"/>
      <c r="J229" s="616"/>
      <c r="K229" s="1668">
        <f>SUM(K215:K228)</f>
        <v>81571</v>
      </c>
      <c r="L229" s="1668">
        <f>SUM(L215:L228)</f>
        <v>90800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f>1457+4119</f>
        <v>5576</v>
      </c>
      <c r="E233" s="616"/>
      <c r="F233" s="616"/>
      <c r="G233" s="616"/>
      <c r="H233" s="616"/>
      <c r="I233" s="616"/>
      <c r="J233" s="616"/>
      <c r="K233" s="1669">
        <f t="shared" si="20"/>
        <v>5576</v>
      </c>
      <c r="L233" s="466">
        <v>1700</v>
      </c>
    </row>
    <row r="234" spans="1:12" x14ac:dyDescent="0.2">
      <c r="A234" s="1504" t="s">
        <v>198</v>
      </c>
      <c r="B234" s="614">
        <v>2130</v>
      </c>
      <c r="C234" s="616"/>
      <c r="D234" s="466">
        <f>2948+1095</f>
        <v>4043</v>
      </c>
      <c r="E234" s="616"/>
      <c r="F234" s="616"/>
      <c r="G234" s="616"/>
      <c r="H234" s="616"/>
      <c r="I234" s="616"/>
      <c r="J234" s="616"/>
      <c r="K234" s="1669">
        <f t="shared" si="20"/>
        <v>4043</v>
      </c>
      <c r="L234" s="466">
        <v>7000</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v>1100</v>
      </c>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9619</v>
      </c>
      <c r="E238" s="616"/>
      <c r="F238" s="616"/>
      <c r="G238" s="616"/>
      <c r="H238" s="616"/>
      <c r="I238" s="616"/>
      <c r="J238" s="616"/>
      <c r="K238" s="1668">
        <f>SUM(K232:K237)</f>
        <v>9619</v>
      </c>
      <c r="L238" s="1668">
        <f>SUM(L232:L237)</f>
        <v>9800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f>2757+1977+6987+3961</f>
        <v>15682</v>
      </c>
      <c r="E241" s="616"/>
      <c r="F241" s="616"/>
      <c r="G241" s="616"/>
      <c r="H241" s="616"/>
      <c r="I241" s="616"/>
      <c r="J241" s="616"/>
      <c r="K241" s="1670">
        <f>D241</f>
        <v>15682</v>
      </c>
      <c r="L241" s="466">
        <v>15900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15682</v>
      </c>
      <c r="E243" s="616"/>
      <c r="F243" s="616"/>
      <c r="G243" s="616"/>
      <c r="H243" s="616"/>
      <c r="I243" s="616"/>
      <c r="J243" s="616"/>
      <c r="K243" s="1668">
        <f>SUM(K240:K242)</f>
        <v>15682</v>
      </c>
      <c r="L243" s="1668">
        <f>SUM(L240:L242)</f>
        <v>15900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3134</v>
      </c>
      <c r="E246" s="616"/>
      <c r="F246" s="616"/>
      <c r="G246" s="616"/>
      <c r="H246" s="616"/>
      <c r="I246" s="616"/>
      <c r="J246" s="616"/>
      <c r="K246" s="1670">
        <f t="shared" ref="K246:K256" si="21">D246</f>
        <v>3134</v>
      </c>
      <c r="L246" s="466">
        <v>3703</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3134</v>
      </c>
      <c r="E257" s="616"/>
      <c r="F257" s="616"/>
      <c r="G257" s="616"/>
      <c r="H257" s="616"/>
      <c r="I257" s="616"/>
      <c r="J257" s="616"/>
      <c r="K257" s="1668">
        <f>SUM(K245:K256)</f>
        <v>3134</v>
      </c>
      <c r="L257" s="1668">
        <f>SUM(L245:L256)</f>
        <v>3703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8413+11179</f>
        <v>19592</v>
      </c>
      <c r="E259" s="616"/>
      <c r="F259" s="616"/>
      <c r="G259" s="616"/>
      <c r="H259" s="616"/>
      <c r="I259" s="616"/>
      <c r="J259" s="616"/>
      <c r="K259" s="1670">
        <f>D259</f>
        <v>19592</v>
      </c>
      <c r="L259" s="481">
        <v>21300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19592</v>
      </c>
      <c r="E261" s="616"/>
      <c r="F261" s="616"/>
      <c r="G261" s="616"/>
      <c r="H261" s="616"/>
      <c r="I261" s="616"/>
      <c r="J261" s="616"/>
      <c r="K261" s="1668">
        <f>SUM(K259:K260)</f>
        <v>19592</v>
      </c>
      <c r="L261" s="1668">
        <f>SUM(L259:L260)</f>
        <v>21300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f>9186+6540</f>
        <v>15726</v>
      </c>
      <c r="E264" s="616"/>
      <c r="F264" s="616"/>
      <c r="G264" s="616"/>
      <c r="H264" s="616"/>
      <c r="I264" s="616"/>
      <c r="J264" s="616"/>
      <c r="K264" s="1670">
        <f t="shared" ref="K264:K269" si="22">D264</f>
        <v>15726</v>
      </c>
      <c r="L264" s="466">
        <v>17000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f>22022+15771</f>
        <v>37793</v>
      </c>
      <c r="E266" s="616"/>
      <c r="F266" s="616"/>
      <c r="G266" s="616"/>
      <c r="H266" s="616"/>
      <c r="I266" s="616"/>
      <c r="J266" s="616"/>
      <c r="K266" s="1670">
        <f t="shared" si="22"/>
        <v>37793</v>
      </c>
      <c r="L266" s="466">
        <v>37600</v>
      </c>
    </row>
    <row r="267" spans="1:14" x14ac:dyDescent="0.2">
      <c r="A267" s="1504" t="s">
        <v>953</v>
      </c>
      <c r="B267" s="614">
        <v>2550</v>
      </c>
      <c r="C267" s="616"/>
      <c r="D267" s="466">
        <f>28552+21874</f>
        <v>50426</v>
      </c>
      <c r="E267" s="616"/>
      <c r="F267" s="616"/>
      <c r="G267" s="616"/>
      <c r="H267" s="616"/>
      <c r="I267" s="616"/>
      <c r="J267" s="616"/>
      <c r="K267" s="1670">
        <f t="shared" si="22"/>
        <v>50426</v>
      </c>
      <c r="L267" s="466">
        <v>54000</v>
      </c>
    </row>
    <row r="268" spans="1:14" x14ac:dyDescent="0.2">
      <c r="A268" s="1504" t="s">
        <v>100</v>
      </c>
      <c r="B268" s="614">
        <v>2560</v>
      </c>
      <c r="C268" s="616"/>
      <c r="D268" s="466">
        <f>12585+9330+1</f>
        <v>21916</v>
      </c>
      <c r="E268" s="616"/>
      <c r="F268" s="616"/>
      <c r="G268" s="616"/>
      <c r="H268" s="616"/>
      <c r="I268" s="616"/>
      <c r="J268" s="616"/>
      <c r="K268" s="1670">
        <f t="shared" si="22"/>
        <v>21916</v>
      </c>
      <c r="L268" s="466">
        <v>22000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125861</v>
      </c>
      <c r="E270" s="616"/>
      <c r="F270" s="616"/>
      <c r="G270" s="616"/>
      <c r="H270" s="616"/>
      <c r="I270" s="616"/>
      <c r="J270" s="616"/>
      <c r="K270" s="1668">
        <f>SUM(K263:K269)</f>
        <v>125861</v>
      </c>
      <c r="L270" s="1668">
        <f>SUM(L263:L269)</f>
        <v>130600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173888</v>
      </c>
      <c r="E279" s="616"/>
      <c r="F279" s="616"/>
      <c r="G279" s="616"/>
      <c r="H279" s="616"/>
      <c r="I279" s="616"/>
      <c r="J279" s="616"/>
      <c r="K279" s="1675">
        <f>SUM(K238,K243,K257,K261,K270,K277,K278)</f>
        <v>173888</v>
      </c>
      <c r="L279" s="1675">
        <f>SUM(L238,L243,L257,L261,L270,L277,L278)</f>
        <v>181303</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7" t="s">
        <v>505</v>
      </c>
      <c r="B295" s="2168"/>
      <c r="C295" s="616"/>
      <c r="D295" s="1668">
        <f>SUM(D229,D279,D280,D285)</f>
        <v>255459</v>
      </c>
      <c r="E295" s="616"/>
      <c r="F295" s="616"/>
      <c r="G295" s="616"/>
      <c r="H295" s="1668">
        <f>H293</f>
        <v>0</v>
      </c>
      <c r="I295" s="616"/>
      <c r="J295" s="616"/>
      <c r="K295" s="1668">
        <f>SUM(K229,K279,K280,K285,K293,K294)</f>
        <v>255459</v>
      </c>
      <c r="L295" s="1668">
        <f>SUM(L229,L279,L280,L285,L293,L294)</f>
        <v>272103</v>
      </c>
    </row>
    <row r="296" spans="1:14" ht="13.5" thickTop="1" x14ac:dyDescent="0.2">
      <c r="A296" s="2176" t="s">
        <v>996</v>
      </c>
      <c r="B296" s="2177"/>
      <c r="C296" s="616"/>
      <c r="D296" s="618"/>
      <c r="E296" s="616"/>
      <c r="F296" s="616"/>
      <c r="G296" s="616"/>
      <c r="H296" s="687"/>
      <c r="I296" s="616"/>
      <c r="J296" s="616"/>
      <c r="K296" s="1682">
        <f>'Revenues 9-14'!G268-'Expenditures 15-22'!K295</f>
        <v>34609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59" t="s">
        <v>143</v>
      </c>
      <c r="B298" s="215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4" t="s">
        <v>277</v>
      </c>
      <c r="B312" s="216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0" t="s">
        <v>996</v>
      </c>
      <c r="B313" s="2161"/>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3" t="s">
        <v>149</v>
      </c>
      <c r="B315" s="217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5" t="s">
        <v>898</v>
      </c>
      <c r="B317" s="217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43800</v>
      </c>
      <c r="F320" s="467"/>
      <c r="G320" s="467"/>
      <c r="H320" s="467"/>
      <c r="I320" s="467"/>
      <c r="J320" s="467"/>
      <c r="K320" s="1669">
        <f t="shared" ref="K320:K327" si="24">SUM(C320:J320)</f>
        <v>43800</v>
      </c>
      <c r="L320" s="467">
        <v>47000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v>2000</v>
      </c>
      <c r="M321" s="665"/>
      <c r="N321" s="665"/>
    </row>
    <row r="322" spans="1:14" s="674" customFormat="1" x14ac:dyDescent="0.2">
      <c r="A322" s="1519" t="s">
        <v>238</v>
      </c>
      <c r="B322" s="697" t="s">
        <v>284</v>
      </c>
      <c r="C322" s="467"/>
      <c r="D322" s="467"/>
      <c r="E322" s="467">
        <v>19071</v>
      </c>
      <c r="F322" s="467"/>
      <c r="G322" s="467"/>
      <c r="H322" s="467"/>
      <c r="I322" s="467"/>
      <c r="J322" s="467"/>
      <c r="K322" s="1669">
        <f t="shared" si="24"/>
        <v>19071</v>
      </c>
      <c r="L322" s="467">
        <v>43500</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v>155101</v>
      </c>
      <c r="D325" s="467"/>
      <c r="E325" s="467">
        <v>23678</v>
      </c>
      <c r="F325" s="467"/>
      <c r="G325" s="467"/>
      <c r="H325" s="467"/>
      <c r="I325" s="467"/>
      <c r="J325" s="467"/>
      <c r="K325" s="1669">
        <f t="shared" si="24"/>
        <v>178779</v>
      </c>
      <c r="L325" s="467">
        <v>181000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24491</v>
      </c>
      <c r="F327" s="467"/>
      <c r="G327" s="467"/>
      <c r="H327" s="467"/>
      <c r="I327" s="467"/>
      <c r="J327" s="467"/>
      <c r="K327" s="1669">
        <f t="shared" si="24"/>
        <v>24491</v>
      </c>
      <c r="L327" s="467">
        <v>15000</v>
      </c>
      <c r="M327" s="665"/>
      <c r="N327" s="665"/>
    </row>
    <row r="328" spans="1:14" s="674" customFormat="1" x14ac:dyDescent="0.2">
      <c r="A328" s="1520" t="s">
        <v>472</v>
      </c>
      <c r="B328" s="690" t="s">
        <v>1132</v>
      </c>
      <c r="C328" s="474"/>
      <c r="D328" s="474"/>
      <c r="E328" s="474">
        <v>22112</v>
      </c>
      <c r="F328" s="474"/>
      <c r="G328" s="474"/>
      <c r="H328" s="474"/>
      <c r="I328" s="474"/>
      <c r="J328" s="474"/>
      <c r="K328" s="1697">
        <f>SUM(C328:J328)</f>
        <v>22112</v>
      </c>
      <c r="L328" s="474"/>
      <c r="M328" s="665"/>
      <c r="N328" s="665"/>
    </row>
    <row r="329" spans="1:14" s="674" customFormat="1" x14ac:dyDescent="0.2">
      <c r="A329" s="1520" t="s">
        <v>1133</v>
      </c>
      <c r="B329" s="690" t="s">
        <v>1134</v>
      </c>
      <c r="C329" s="474"/>
      <c r="D329" s="474"/>
      <c r="E329" s="474">
        <v>12457</v>
      </c>
      <c r="F329" s="474"/>
      <c r="G329" s="474"/>
      <c r="H329" s="474"/>
      <c r="I329" s="474"/>
      <c r="J329" s="474"/>
      <c r="K329" s="1697">
        <f>SUM(C329:J329)</f>
        <v>12457</v>
      </c>
      <c r="L329" s="474">
        <v>13000</v>
      </c>
      <c r="M329" s="665"/>
      <c r="N329" s="665"/>
    </row>
    <row r="330" spans="1:14" s="674" customFormat="1" ht="12.75" customHeight="1" thickBot="1" x14ac:dyDescent="0.25">
      <c r="A330" s="1698" t="s">
        <v>717</v>
      </c>
      <c r="B330" s="1667" t="s">
        <v>569</v>
      </c>
      <c r="C330" s="1668">
        <f>SUM(C319:C329)</f>
        <v>155101</v>
      </c>
      <c r="D330" s="1668">
        <f t="shared" ref="D330:J330" si="25">SUM(D319:D329)</f>
        <v>0</v>
      </c>
      <c r="E330" s="1668">
        <f t="shared" si="25"/>
        <v>145609</v>
      </c>
      <c r="F330" s="1668">
        <f t="shared" si="25"/>
        <v>0</v>
      </c>
      <c r="G330" s="1668">
        <f t="shared" si="25"/>
        <v>0</v>
      </c>
      <c r="H330" s="1668">
        <f t="shared" si="25"/>
        <v>0</v>
      </c>
      <c r="I330" s="1668">
        <f t="shared" si="25"/>
        <v>0</v>
      </c>
      <c r="J330" s="1668">
        <f t="shared" si="25"/>
        <v>0</v>
      </c>
      <c r="K330" s="1668">
        <f>SUM(K319:K329)</f>
        <v>300710</v>
      </c>
      <c r="L330" s="1668">
        <f>SUM(L319:L329)</f>
        <v>301500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155101</v>
      </c>
      <c r="D342" s="1668">
        <f>SUM(D330)</f>
        <v>0</v>
      </c>
      <c r="E342" s="1668">
        <f>SUM(E330)</f>
        <v>145609</v>
      </c>
      <c r="F342" s="1668">
        <f>SUM(F330)</f>
        <v>0</v>
      </c>
      <c r="G342" s="1668">
        <f>SUM(G330)</f>
        <v>0</v>
      </c>
      <c r="H342" s="1668">
        <f>SUM(H330,H334,H340)</f>
        <v>0</v>
      </c>
      <c r="I342" s="1668">
        <f>SUM(I330)</f>
        <v>0</v>
      </c>
      <c r="J342" s="1668">
        <f>SUM(J330)</f>
        <v>0</v>
      </c>
      <c r="K342" s="1668">
        <f>SUM(K330,K334,K340)</f>
        <v>300710</v>
      </c>
      <c r="L342" s="1675">
        <f>SUM(L330,L340,L341)</f>
        <v>301500</v>
      </c>
    </row>
    <row r="343" spans="1:14" ht="12.75" customHeight="1" thickTop="1" x14ac:dyDescent="0.2">
      <c r="A343" s="2162" t="s">
        <v>996</v>
      </c>
      <c r="B343" s="2163"/>
      <c r="C343" s="616"/>
      <c r="D343" s="616"/>
      <c r="E343" s="616"/>
      <c r="F343" s="616"/>
      <c r="G343" s="616"/>
      <c r="H343" s="616"/>
      <c r="I343" s="616"/>
      <c r="J343" s="616"/>
      <c r="K343" s="1682">
        <f>'Revenues 9-14'!J268-'Expenditures 15-22'!K342</f>
        <v>3406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2" t="s">
        <v>966</v>
      </c>
      <c r="B345" s="215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4776</v>
      </c>
      <c r="F348" s="466"/>
      <c r="G348" s="466">
        <v>359988</v>
      </c>
      <c r="H348" s="466"/>
      <c r="I348" s="467"/>
      <c r="J348" s="467"/>
      <c r="K348" s="1669">
        <f>SUM(C348:J348)</f>
        <v>364764</v>
      </c>
      <c r="L348" s="466">
        <v>367000</v>
      </c>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4776</v>
      </c>
      <c r="F350" s="1668">
        <f t="shared" si="26"/>
        <v>0</v>
      </c>
      <c r="G350" s="1668">
        <f t="shared" si="26"/>
        <v>359988</v>
      </c>
      <c r="H350" s="1668">
        <f t="shared" si="26"/>
        <v>0</v>
      </c>
      <c r="I350" s="1668">
        <f t="shared" si="26"/>
        <v>0</v>
      </c>
      <c r="J350" s="1668">
        <f t="shared" si="26"/>
        <v>0</v>
      </c>
      <c r="K350" s="1668">
        <f t="shared" si="26"/>
        <v>364764</v>
      </c>
      <c r="L350" s="1668">
        <f t="shared" si="26"/>
        <v>367000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4776</v>
      </c>
      <c r="F352" s="1668">
        <f t="shared" si="27"/>
        <v>0</v>
      </c>
      <c r="G352" s="1668">
        <f t="shared" si="27"/>
        <v>359988</v>
      </c>
      <c r="H352" s="1668">
        <f t="shared" si="27"/>
        <v>0</v>
      </c>
      <c r="I352" s="1668">
        <f t="shared" si="27"/>
        <v>0</v>
      </c>
      <c r="J352" s="1668">
        <f t="shared" si="27"/>
        <v>0</v>
      </c>
      <c r="K352" s="1668">
        <f t="shared" si="27"/>
        <v>364764</v>
      </c>
      <c r="L352" s="1668">
        <f t="shared" si="27"/>
        <v>367000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4776</v>
      </c>
      <c r="F367" s="1668">
        <f t="shared" si="28"/>
        <v>0</v>
      </c>
      <c r="G367" s="1668">
        <f t="shared" si="28"/>
        <v>359988</v>
      </c>
      <c r="H367" s="1668">
        <f t="shared" si="28"/>
        <v>0</v>
      </c>
      <c r="I367" s="1668">
        <f t="shared" si="28"/>
        <v>0</v>
      </c>
      <c r="J367" s="1668">
        <f t="shared" si="28"/>
        <v>0</v>
      </c>
      <c r="K367" s="1668">
        <f t="shared" si="28"/>
        <v>364764</v>
      </c>
      <c r="L367" s="1668">
        <f t="shared" si="28"/>
        <v>367000</v>
      </c>
    </row>
    <row r="368" spans="1:14" ht="13.5" thickTop="1" x14ac:dyDescent="0.2">
      <c r="A368" s="2176" t="s">
        <v>996</v>
      </c>
      <c r="B368" s="2177"/>
      <c r="C368" s="654"/>
      <c r="D368" s="654"/>
      <c r="E368" s="626"/>
      <c r="F368" s="626"/>
      <c r="G368" s="626"/>
      <c r="H368" s="626"/>
      <c r="I368" s="626"/>
      <c r="J368" s="623"/>
      <c r="K368" s="1669">
        <f>'Revenues 9-14'!K268-'Expenditures 15-22'!K367</f>
        <v>-306491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accompanying notes are an integral part of these financial satements.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schemas.microsoft.com/office/2006/documentManagement/types"/>
    <ds:schemaRef ds:uri="http://schemas.microsoft.com/sharepoint/v3"/>
    <ds:schemaRef ds:uri="http://schemas.microsoft.com/office/infopath/2007/PartnerControls"/>
    <ds:schemaRef ds:uri="6ce3111e-7420-4802-b50a-75d4e9a0b980"/>
    <ds:schemaRef ds:uri="http://purl.org/dc/elements/1.1/"/>
    <ds:schemaRef ds:uri="http://purl.org/dc/terms/"/>
    <ds:schemaRef ds:uri="http://purl.org/dc/dcmitype/"/>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2019-08-16T21:14:41Z</cp:lastPrinted>
  <dcterms:created xsi:type="dcterms:W3CDTF">2003-10-29T19:06:34Z</dcterms:created>
  <dcterms:modified xsi:type="dcterms:W3CDTF">2019-11-12T18:57:37Z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