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8C8F24F-E6C1-423B-80FB-0B3F6705823C}"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F26" i="108"/>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D24" i="37"/>
  <c r="B4270" i="106" s="1"/>
  <c r="D4270" i="106" s="1"/>
  <c r="H112" i="29" l="1"/>
  <c r="B7018" i="106" s="1"/>
  <c r="D7018" i="106" s="1"/>
  <c r="D22" i="37"/>
  <c r="G33" i="108"/>
  <c r="F37" i="34"/>
  <c r="F67" i="34"/>
  <c r="G30" i="108"/>
  <c r="B6995" i="106"/>
  <c r="D6995" i="106" s="1"/>
  <c r="B6289" i="106"/>
  <c r="D6289" i="106" s="1"/>
  <c r="E30" i="108"/>
  <c r="L15" i="11"/>
  <c r="B3459" i="106" s="1"/>
  <c r="D3459" i="106" s="1"/>
  <c r="L5" i="11"/>
  <c r="B2056" i="106" s="1"/>
  <c r="D2056" i="106" s="1"/>
  <c r="D31" i="108"/>
  <c r="G14" i="4"/>
  <c r="B2609" i="106" s="1"/>
  <c r="D2609" i="106" s="1"/>
  <c r="B7078" i="106"/>
  <c r="D7078" i="106" s="1"/>
  <c r="F72" i="34"/>
  <c r="F71" i="34"/>
  <c r="H28" i="118"/>
  <c r="F64" i="34"/>
  <c r="H76" i="4"/>
  <c r="B3298" i="106" s="1"/>
  <c r="D3298" i="106" s="1"/>
  <c r="J210" i="29"/>
  <c r="B7072" i="106" s="1"/>
  <c r="D7072" i="106" s="1"/>
  <c r="F50" i="34"/>
  <c r="F46" i="34"/>
  <c r="I210" i="29"/>
  <c r="B7071" i="106" s="1"/>
  <c r="D7071" i="106" s="1"/>
  <c r="F49" i="34"/>
  <c r="F42" i="34"/>
  <c r="F36" i="34"/>
  <c r="F36" i="108"/>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F66" i="34" l="1"/>
  <c r="B3621" i="106"/>
  <c r="D3621" i="106" s="1"/>
  <c r="D7250" i="106"/>
  <c r="D7255" i="106"/>
  <c r="J16" i="4"/>
  <c r="B6226" i="106" s="1"/>
  <c r="D6226" i="106" s="1"/>
  <c r="H77" i="4"/>
  <c r="B3299" i="106" s="1"/>
  <c r="D3299" i="106" s="1"/>
  <c r="I7" i="4"/>
  <c r="B4444" i="106" s="1"/>
  <c r="D4444" i="106" s="1"/>
  <c r="D7254" i="106"/>
  <c r="D7256" i="106"/>
  <c r="D7252"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 r="M41" i="3" l="1"/>
  <c r="B280" i="106"/>
  <c r="D280" i="106" s="1"/>
  <c r="B281" i="106" l="1"/>
  <c r="D281" i="106" s="1"/>
  <c r="D5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<sst xmlns="http://schemas.openxmlformats.org/spreadsheetml/2006/main" count="5114" uniqueCount="2124">
  <si>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</si>
  <si>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</si>
  <si>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</si>
  <si>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</si>
  <si>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</si>
  <si>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</si>
  <si>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</si>
  <si>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</si>
  <si>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</si>
  <si>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</si>
  <si>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</si>
  <si>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</si>
  <si>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</si>
  <si>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</si>
  <si>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</si>
  <si>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</si>
  <si>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</si>
  <si>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</si>
  <si>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</si>
  <si>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</si>
  <si>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</si>
  <si>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</si>
  <si>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</si>
  <si>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</si>
  <si>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</si>
  <si>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</si>
  <si>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</si>
  <si>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</si>
  <si>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</si>
  <si>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</si>
  <si>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</si>
  <si>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</si>
  <si>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</si>
  <si>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</si>
  <si>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</si>
  <si>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</si>
  <si>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</si>
  <si>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</si>
  <si>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</si>
  <si>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</si>
  <si>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</si>
  <si>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</si>
  <si>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</si>
  <si>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</si>
  <si>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</si>
  <si>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</si>
  <si>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</si>
  <si>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</si>
  <si>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</si>
  <si>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</si>
  <si>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</si>
  <si>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</si>
  <si>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</si>
  <si>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</si>
  <si>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</si>
  <si>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</si>
  <si>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</si>
  <si>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</si>
  <si>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</si>
  <si>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</si>
  <si>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</si>
  <si>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</si>
  <si>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</si>
  <si>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</si>
  <si>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</si>
  <si>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</si>
  <si>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</si>
  <si>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</si>
  <si>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</si>
  <si>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</si>
  <si>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</si>
  <si>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</si>
  <si>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</si>
  <si>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</si>
  <si>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</si>
  <si>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</si>
  <si>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</si>
  <si>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</si>
  <si>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</si>
  <si>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</si>
  <si>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</si>
  <si>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</si>
  <si>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</si>
  <si>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</si>
  <si>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</si>
  <si>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</si>
  <si>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</si>
  <si>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</si>
  <si>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</si>
  <si>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</si>
  <si>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</si>
  <si>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</si>
  <si>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</si>
  <si>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</si>
  <si>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</si>
  <si>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</si>
  <si>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</si>
  <si>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</si>
  <si>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</si>
  <si>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</si>
  <si>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</si>
  <si>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</si>
  <si>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</si>
  <si>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</si>
  <si>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</si>
  <si>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</si>
  <si>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</si>
  <si>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</si>
  <si>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</si>
  <si>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</si>
  <si>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</si>
  <si>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</si>
  <si>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</si>
  <si>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</si>
  <si>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</si>
  <si>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</si>
  <si>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</si>
  <si>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</si>
  <si>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</si>
  <si>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</si>
  <si>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</si>
  <si>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</si>
  <si>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</si>
  <si>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</si>
  <si>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</si>
  <si>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</si>
  <si>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</si>
  <si>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</si>
  <si>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</si>
  <si>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</si>
  <si>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</si>
  <si>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</si>
  <si>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</si>
  <si>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</si>
  <si>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</si>
  <si>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</si>
  <si>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</si>
  <si>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</si>
  <si>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</si>
  <si>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</si>
  <si>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</si>
  <si>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</si>
  <si>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</si>
  <si>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</si>
  <si>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</si>
  <si>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</si>
  <si>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</si>
  <si>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</si>
  <si>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</si>
  <si>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</si>
  <si>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</si>
  <si>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</si>
  <si>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</si>
  <si>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</si>
  <si>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</si>
  <si>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</si>
  <si>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</si>
  <si>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</si>
  <si>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</si>
  <si>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</si>
  <si>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</si>
  <si>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</si>
  <si>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</si>
  <si>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</si>
  <si>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</si>
  <si>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</si>
  <si>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</si>
  <si>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</si>
  <si>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</si>
  <si>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</si>
  <si>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</si>
  <si>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</si>
  <si>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</si>
  <si>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</si>
  <si>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</si>
  <si>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</si>
  <si>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</si>
  <si>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</si>
  <si>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</si>
  <si>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</si>
  <si>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</si>
  <si>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</si>
  <si>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</si>
  <si>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</si>
  <si>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</si>
  <si>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</si>
  <si>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</si>
  <si>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</si>
  <si>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</si>
  <si>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</si>
  <si>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</si>
  <si>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</si>
  <si>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</si>
  <si>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</si>
  <si>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</si>
  <si>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</si>
  <si>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</si>
  <si>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</si>
  <si>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</si>
  <si>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</si>
  <si>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</si>
  <si>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</si>
  <si>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</si>
  <si>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</si>
  <si>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</si>
  <si>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</si>
  <si>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</si>
  <si>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</si>
  <si>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</si>
  <si>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</si>
  <si>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</si>
  <si>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</si>
  <si>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</si>
  <si>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</si>
  <si>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</si>
  <si>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</si>
  <si>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</si>
  <si>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</si>
  <si>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</si>
  <si>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</si>
  <si>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</si>
  <si>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</si>
  <si>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</si>
  <si>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</si>
  <si>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</si>
  <si>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</si>
  <si>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</si>
  <si>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</si>
  <si>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</si>
  <si>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</si>
  <si>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</si>
  <si>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</si>
  <si>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</si>
  <si>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</si>
  <si>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</si>
  <si>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</si>
  <si>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</si>
  <si>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</si>
  <si>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</si>
  <si>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</si>
  <si>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</si>
  <si>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</si>
  <si>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</si>
  <si>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</si>
  <si>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</si>
  <si>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</si>
  <si>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</si>
  <si>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</si>
  <si>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</si>
  <si>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</si>
  <si>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</si>
  <si>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</si>
  <si>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</si>
  <si>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</si>
  <si>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</si>
  <si>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</si>
  <si>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</si>
  <si>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</si>
  <si>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</si>
  <si>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</si>
  <si>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</si>
  <si>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</si>
  <si>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</si>
  <si>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</si>
  <si>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</si>
  <si>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</si>
  <si>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</si>
  <si>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</si>
  <si>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</si>
  <si>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</si>
  <si>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</si>
  <si>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</si>
  <si>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</si>
  <si>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</si>
  <si>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</si>
  <si>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</si>
  <si>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</si>
  <si>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</si>
  <si>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</si>
  <si>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</si>
  <si>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</si>
  <si>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</si>
  <si>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</si>
  <si>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</si>
  <si>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</si>
  <si>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</si>
  <si>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</si>
  <si>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</si>
  <si>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</si>
  <si>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</si>
  <si>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</si>
  <si>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</si>
  <si>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</si>
  <si>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</si>
  <si>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</si>
  <si>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</si>
  <si>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</si>
  <si>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</si>
  <si>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</si>
  <si>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</si>
  <si>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</si>
  <si>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</si>
  <si>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</si>
  <si>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</si>
  <si>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</si>
  <si>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</si>
  <si>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</si>
  <si>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</si>
  <si>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</si>
  <si>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</si>
  <si>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</si>
  <si>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</si>
  <si>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</si>
  <si>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</si>
  <si>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</si>
  <si>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</si>
  <si>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</si>
  <si>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</si>
  <si>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</si>
  <si>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</si>
  <si>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</si>
  <si>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</si>
  <si>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</si>
  <si>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</si>
  <si>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</si>
  <si>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</si>
  <si>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</si>
  <si>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</si>
  <si>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</si>
  <si>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</si>
  <si>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</si>
  <si>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</si>
  <si>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</si>
  <si>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</si>
  <si>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</si>
  <si>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</si>
  <si>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</si>
  <si>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</si>
  <si>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</si>
  <si>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</si>
  <si>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</si>
  <si>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</si>
  <si>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</si>
  <si>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</si>
  <si>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</si>
  <si>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</si>
  <si>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</si>
  <si>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</si>
  <si>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</si>
  <si>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</si>
  <si>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</si>
  <si>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</si>
  <si>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</si>
  <si>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</si>
  <si>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</si>
  <si>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</si>
  <si>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</si>
  <si>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</si>
  <si>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</si>
  <si>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</si>
  <si>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</si>
  <si>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</si>
  <si>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</si>
  <si>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</si>
  <si>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</si>
  <si>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</si>
  <si>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</si>
  <si>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</si>
  <si>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</si>
  <si>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</si>
  <si>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</si>
  <si>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</si>
  <si>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</si>
  <si>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</si>
  <si>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</si>
  <si>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</si>
  <si>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</si>
  <si>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</si>
  <si>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</si>
  <si>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</si>
  <si>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</si>
  <si>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</si>
  <si>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</si>
  <si>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</si>
  <si>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</si>
  <si>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</si>
  <si>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</si>
  <si>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</si>
  <si>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</si>
  <si>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</si>
  <si>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</si>
  <si>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</si>
  <si>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</si>
  <si>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</si>
  <si>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</si>
  <si>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</si>
  <si>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</si>
  <si>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</si>
  <si>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</si>
  <si>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</si>
  <si>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</si>
  <si>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</si>
  <si>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</si>
  <si>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</si>
  <si>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</si>
  <si>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</si>
  <si>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</si>
  <si>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</si>
  <si>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</si>
  <si>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</si>
  <si>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</si>
  <si>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</si>
  <si>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</si>
  <si>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</si>
  <si>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</si>
  <si>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</si>
  <si>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</si>
  <si>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</si>
  <si>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</si>
  <si>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</si>
  <si>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</si>
  <si>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</si>
  <si>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</si>
  <si>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</si>
  <si>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</si>
  <si>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</si>
  <si>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</si>
  <si>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</si>
  <si>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</si>
  <si>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</si>
  <si>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</si>
  <si>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</si>
  <si>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</si>
  <si>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</si>
  <si>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</si>
  <si>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</si>
  <si>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</si>
  <si>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</si>
  <si>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</si>
  <si>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</si>
  <si>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</si>
  <si>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</si>
  <si>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</si>
  <si>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</si>
  <si>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</si>
  <si>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</si>
  <si>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</si>
  <si>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</si>
  <si>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</si>
  <si>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</si>
  <si>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</si>
  <si>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</si>
  <si>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</si>
  <si>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</si>
  <si>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</si>
  <si>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</si>
  <si>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</si>
  <si>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</si>
  <si>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</si>
  <si>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</si>
  <si>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</si>
  <si>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</si>
  <si>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</si>
  <si>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</si>
  <si>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</si>
  <si>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</si>
  <si>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</si>
  <si>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</si>
  <si>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</si>
  <si>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</si>
  <si>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</si>
  <si>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</si>
  <si>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</si>
  <si>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</si>
  <si>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</si>
  <si>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</si>
  <si>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</si>
  <si>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</si>
  <si>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</si>
  <si>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</si>
  <si>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</si>
  <si>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</si>
  <si>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</si>
  <si>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</si>
  <si>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</si>
  <si>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</si>
  <si>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</si>
  <si>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</si>
  <si>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</si>
  <si>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</si>
  <si>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</si>
  <si>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</si>
  <si>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</si>
  <si>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</si>
  <si>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</si>
  <si>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</si>
  <si>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</si>
  <si>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</si>
  <si>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</si>
  <si>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</si>
  <si>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</si>
  <si>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</si>
  <si>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</si>
  <si>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</si>
  <si>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</si>
  <si>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</si>
  <si>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</si>
  <si>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</si>
  <si>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</si>
  <si>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</si>
  <si>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</si>
  <si>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</si>
  <si>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</si>
  <si>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</si>
  <si>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</si>
  <si>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</si>
  <si>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</si>
  <si>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</si>
  <si>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</si>
  <si>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</si>
  <si>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</si>
  <si>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</si>
  <si>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</si>
  <si>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</si>
  <si>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</si>
  <si>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</si>
  <si>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</si>
  <si>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</si>
  <si>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</si>
  <si>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</si>
  <si>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</si>
  <si>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</si>
  <si>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</si>
  <si>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</si>
  <si>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</si>
  <si>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</si>
  <si>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</si>
  <si>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</si>
  <si>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</si>
  <si>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</si>
  <si>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</si>
  <si>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</si>
  <si>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</si>
  <si>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</si>
  <si>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</si>
  <si>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</si>
  <si>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</si>
  <si>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</si>
  <si>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</si>
  <si>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</si>
  <si>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</si>
  <si>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</si>
  <si>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</si>
  <si>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</si>
  <si>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</si>
  <si>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</si>
  <si>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</si>
  <si>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</si>
  <si>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</si>
  <si>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</si>
  <si>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</si>
  <si>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</si>
  <si>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</si>
  <si>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</si>
  <si>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</si>
  <si>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</si>
  <si>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</si>
  <si>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</si>
  <si>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</si>
  <si>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</si>
  <si>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</si>
  <si>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</si>
  <si>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</si>
  <si>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</si>
  <si>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</si>
  <si>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</si>
  <si>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</si>
  <si>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</si>
  <si>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</si>
  <si>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</si>
  <si>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</si>
  <si>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</si>
  <si>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</si>
  <si>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</si>
  <si>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</si>
  <si>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</si>
  <si>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</si>
  <si>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</si>
  <si>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</si>
  <si>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</si>
  <si>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</si>
  <si>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</si>
  <si>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</si>
  <si>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</si>
  <si>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</si>
  <si>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</si>
  <si>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</si>
  <si>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</si>
  <si>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</si>
  <si>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</si>
  <si>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</si>
  <si>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</si>
  <si>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</si>
  <si>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</si>
  <si>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</si>
  <si>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</si>
  <si>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</si>
  <si>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</si>
  <si>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</si>
  <si>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</si>
  <si>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</si>
  <si>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</si>
  <si>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</si>
  <si>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</si>
  <si>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</si>
  <si>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</si>
  <si>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</si>
  <si>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</si>
  <si>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</si>
  <si>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</si>
  <si>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</si>
  <si>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</si>
  <si>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</si>
  <si>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</si>
  <si>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</si>
  <si>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</si>
  <si>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</si>
  <si>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</si>
  <si>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</si>
  <si>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</si>
  <si>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</si>
  <si>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</si>
  <si>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</si>
  <si>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</si>
  <si>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</si>
  <si>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</si>
  <si>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</si>
  <si>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</si>
  <si>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</si>
  <si>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</si>
  <si>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</si>
  <si>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</si>
  <si>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</si>
  <si>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</si>
  <si>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</si>
  <si>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</si>
  <si>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</si>
  <si>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</si>
  <si>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</si>
  <si>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</si>
  <si>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</si>
  <si>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</si>
  <si>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</si>
  <si>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</si>
  <si>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</si>
  <si>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</si>
  <si>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</si>
  <si>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</si>
  <si>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</si>
  <si>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</si>
  <si>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</si>
  <si>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</si>
  <si>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</si>
  <si>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</si>
  <si>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</si>
  <si>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</si>
  <si>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</si>
  <si>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</si>
  <si>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</si>
  <si>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</si>
  <si>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</si>
  <si>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</si>
  <si>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</si>
  <si>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</si>
  <si>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</si>
  <si>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</si>
  <si>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</si>
  <si>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</si>
  <si>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</si>
  <si>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</si>
  <si>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</si>
  <si>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</si>
  <si>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</si>
  <si>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</si>
  <si>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</si>
  <si>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</si>
  <si>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</si>
  <si>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</si>
  <si>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</si>
  <si>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</si>
  <si>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</si>
  <si>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</si>
  <si>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</si>
  <si>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</si>
  <si>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</si>
  <si>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</si>
  <si>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</si>
  <si>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</si>
  <si>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</si>
  <si>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</si>
  <si>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</si>
  <si>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</si>
  <si>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</si>
  <si>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</si>
  <si>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</si>
  <si>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</si>
  <si>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</si>
  <si>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</si>
  <si>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</si>
  <si>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</si>
  <si>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</si>
  <si>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</si>
  <si>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</si>
  <si>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</si>
  <si>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</si>
  <si>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</si>
  <si>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</si>
  <si>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</si>
  <si>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</si>
  <si>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</si>
  <si>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</si>
  <si>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</si>
  <si>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</si>
  <si>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</si>
  <si>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</si>
  <si>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</si>
  <si>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</si>
  <si>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</si>
  <si>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</si>
  <si>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</si>
  <si>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</si>
  <si>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</si>
  <si>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</si>
  <si>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</si>
  <si>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</si>
  <si>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</si>
  <si>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</si>
  <si>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</si>
  <si>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</si>
  <si>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</si>
  <si>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</si>
  <si>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</si>
  <si>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</si>
  <si>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</si>
  <si>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</si>
  <si>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</si>
  <si>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</si>
  <si>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</si>
  <si>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</si>
  <si>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</si>
  <si>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</si>
  <si>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</si>
  <si>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</si>
  <si>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</si>
  <si>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</si>
  <si>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</si>
  <si>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</si>
  <si>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</si>
  <si>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</si>
  <si>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</si>
  <si>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</si>
  <si>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</si>
  <si>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</si>
  <si>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</si>
  <si>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</si>
  <si>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</si>
  <si>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</si>
  <si>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</si>
  <si>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</si>
  <si>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</si>
  <si>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</si>
  <si>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</si>
  <si>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</si>
  <si>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</si>
  <si>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</si>
  <si>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</si>
  <si>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</si>
  <si>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</si>
  <si>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</si>
  <si>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</si>
  <si>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</si>
  <si>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</si>
  <si>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</si>
  <si>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</si>
  <si>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</si>
  <si>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</si>
  <si>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</si>
  <si>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</si>
  <si>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</si>
  <si>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</si>
  <si>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</si>
  <si>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</si>
  <si>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</si>
  <si>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</si>
  <si>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</si>
  <si>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</si>
  <si>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</si>
  <si>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</si>
  <si>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</si>
  <si>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</si>
  <si>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</si>
  <si>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</si>
  <si>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</si>
  <si>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</si>
  <si>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</si>
  <si>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</si>
  <si>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</si>
  <si>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</si>
  <si>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</si>
  <si>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</si>
  <si>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</si>
  <si>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</si>
  <si>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</si>
  <si>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</si>
  <si>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</si>
  <si>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</si>
  <si>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</si>
  <si>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</si>
  <si>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</si>
  <si>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</si>
  <si>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</si>
  <si>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</si>
  <si>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</si>
  <si>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</si>
  <si>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</si>
  <si>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</si>
  <si>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</si>
  <si>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</si>
  <si>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</si>
  <si>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</si>
  <si>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</si>
  <si>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</si>
  <si>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</si>
  <si>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</si>
  <si>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</si>
  <si>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</si>
  <si>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</si>
  <si>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</si>
  <si>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</si>
  <si>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</si>
  <si>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</si>
  <si>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</si>
  <si>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</si>
  <si>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</si>
  <si>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</si>
  <si>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</si>
  <si>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</si>
  <si>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</si>
  <si>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</si>
  <si>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</si>
  <si>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</si>
  <si>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</si>
  <si>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</si>
  <si>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</si>
  <si>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</si>
  <si>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</si>
  <si>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</si>
  <si>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</si>
  <si>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</si>
  <si>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</si>
  <si>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</si>
  <si>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</si>
  <si>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</si>
  <si>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</si>
  <si>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</si>
  <si>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</si>
  <si>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</si>
  <si>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</si>
  <si>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</si>
  <si>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</si>
  <si>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</si>
  <si>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</si>
  <si>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</si>
  <si>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</si>
  <si>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</si>
  <si>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</si>
  <si>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</si>
  <si>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</si>
  <si>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</si>
  <si>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</si>
  <si>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</si>
  <si>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</si>
  <si>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</si>
  <si>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</si>
  <si>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</si>
  <si>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</si>
  <si>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</si>
  <si>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</si>
  <si>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</si>
  <si>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</si>
  <si>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</si>
  <si>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</si>
  <si>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</si>
  <si>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</si>
  <si>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</si>
  <si>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</si>
  <si>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</si>
  <si>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</si>
  <si>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</si>
  <si>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</si>
  <si>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</si>
  <si>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</si>
  <si>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</si>
  <si>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</si>
  <si>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</si>
  <si>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</si>
  <si>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</si>
  <si>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</si>
  <si>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</si>
  <si>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</si>
  <si>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</si>
  <si>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</si>
  <si>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</si>
  <si>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</si>
  <si>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</si>
  <si>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</si>
  <si>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</si>
  <si>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</si>
  <si>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</si>
  <si>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</si>
  <si>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</si>
  <si>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</si>
  <si>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</si>
  <si>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</si>
  <si>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</si>
  <si>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</si>
  <si>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</si>
  <si>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</si>
  <si>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</si>
  <si>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</si>
  <si>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</si>
  <si>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</si>
  <si>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</si>
  <si>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</si>
  <si>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</si>
  <si>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</si>
  <si>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</si>
  <si>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</si>
  <si>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</si>
  <si>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</si>
  <si>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</si>
  <si>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</si>
  <si>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</si>
  <si>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</si>
  <si>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</si>
  <si>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</si>
  <si>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</si>
  <si>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</si>
  <si>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</si>
  <si>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</si>
  <si>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</si>
  <si>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</si>
  <si>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</si>
  <si>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</si>
  <si>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</si>
  <si>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</si>
  <si>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</si>
  <si>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</si>
  <si>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</si>
  <si>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</si>
  <si>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</si>
  <si>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</si>
  <si>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</si>
  <si>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</si>
  <si>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</si>
  <si>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</si>
  <si>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</si>
  <si>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</si>
  <si>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</si>
  <si>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</si>
  <si>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</si>
  <si>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</si>
  <si>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</si>
  <si>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</si>
  <si>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</si>
  <si>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</si>
  <si>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</si>
  <si>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</si>
  <si>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</si>
  <si>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</si>
  <si>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</si>
  <si>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</si>
  <si>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</si>
  <si>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</si>
  <si>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</si>
  <si>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</si>
  <si>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</si>
  <si>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</si>
  <si>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</si>
  <si>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</si>
  <si>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</si>
  <si>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</si>
  <si>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</si>
  <si>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</si>
  <si>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</si>
  <si>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</si>
  <si>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</si>
  <si>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</si>
  <si>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</si>
  <si>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</si>
  <si>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</si>
  <si>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</si>
  <si>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</si>
  <si>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</si>
  <si>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</si>
  <si>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</si>
  <si>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</si>
  <si>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</si>
  <si>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</si>
  <si>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</si>
  <si>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</si>
  <si>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</si>
  <si>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</si>
  <si>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</si>
  <si>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</si>
  <si>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</si>
  <si>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</si>
  <si>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</si>
  <si>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</si>
  <si>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</si>
  <si>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</si>
  <si>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</si>
  <si>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</si>
  <si>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</si>
  <si>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</si>
  <si>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</si>
  <si>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</si>
  <si>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</si>
  <si>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</si>
  <si>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</si>
  <si>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</si>
  <si>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</si>
  <si>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</si>
  <si>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</si>
  <si>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</si>
  <si>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</si>
  <si>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</si>
  <si>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</si>
  <si>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</si>
  <si>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</si>
  <si>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</si>
  <si>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</si>
  <si>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</si>
  <si>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</si>
  <si>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</si>
  <si>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</si>
  <si>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</si>
  <si>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</si>
  <si>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</si>
  <si>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</si>
  <si>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</si>
  <si>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</si>
  <si>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</si>
  <si>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</si>
  <si>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</si>
  <si>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</si>
  <si>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</si>
  <si>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</si>
  <si>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</si>
  <si>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</si>
  <si>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</si>
  <si>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</si>
  <si>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</si>
  <si>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</si>
  <si>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</si>
  <si>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</si>
  <si>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</si>
  <si>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</si>
  <si>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</si>
  <si>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</si>
  <si>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</si>
  <si>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</si>
  <si>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</si>
  <si>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</si>
  <si>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</si>
  <si>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</si>
  <si>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</si>
  <si>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</si>
  <si>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</si>
  <si>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</si>
  <si>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</si>
  <si>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</si>
  <si>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</si>
  <si>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</si>
  <si>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</si>
  <si>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</si>
  <si>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</si>
  <si>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</si>
  <si>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</si>
  <si>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</si>
  <si>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</si>
  <si>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</si>
  <si>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</si>
  <si>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</si>
  <si>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</si>
  <si>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</si>
  <si>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</si>
  <si>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</si>
  <si>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</si>
  <si>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</si>
  <si>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</si>
  <si>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</si>
  <si>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</si>
  <si>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</si>
  <si>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</si>
  <si>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</si>
  <si>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</si>
  <si>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</si>
  <si>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</si>
  <si>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</si>
  <si>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</si>
  <si>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</si>
  <si>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</si>
  <si>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</si>
  <si>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</si>
  <si>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</si>
  <si>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</si>
  <si>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</si>
  <si>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</si>
  <si>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</si>
  <si>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</si>
  <si>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</si>
  <si>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</si>
  <si>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</si>
  <si>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</si>
  <si>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</si>
  <si>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</si>
  <si>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</si>
  <si>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</si>
  <si>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</si>
  <si>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</si>
  <si>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</si>
  <si>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</si>
  <si>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</si>
  <si>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</si>
  <si>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</si>
  <si>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</si>
  <si>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</si>
  <si>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</si>
  <si>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</si>
  <si>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</si>
  <si>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</si>
  <si>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</si>
  <si>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</si>
  <si>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</si>
  <si>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</si>
  <si>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</si>
  <si>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</si>
  <si>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</si>
  <si>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</si>
  <si>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</si>
  <si>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</si>
  <si>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</si>
  <si>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</si>
  <si>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</si>
  <si>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</si>
  <si>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</si>
  <si>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</si>
  <si>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</si>
  <si>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</si>
  <si>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</si>
  <si>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</si>
  <si>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</si>
  <si>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</si>
  <si>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</si>
  <si>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</si>
  <si>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</si>
  <si>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</si>
  <si>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</si>
  <si>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</si>
  <si>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</si>
  <si>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</si>
  <si>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</si>
  <si>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</si>
  <si>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</si>
  <si>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</si>
  <si>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</si>
  <si>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</si>
  <si>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</si>
  <si>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</si>
  <si>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</si>
  <si>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</si>
  <si>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</si>
  <si>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</si>
  <si>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</si>
  <si>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</si>
  <si>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</si>
  <si>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</si>
  <si>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</si>
  <si>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</si>
  <si>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</si>
  <si>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</si>
  <si>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</si>
  <si>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</si>
  <si>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</si>
  <si>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</si>
  <si>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</si>
  <si>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</si>
  <si>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</si>
  <si>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</si>
  <si>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</si>
  <si>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</si>
  <si>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</si>
  <si>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</si>
  <si>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</si>
  <si>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</si>
  <si>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</si>
  <si>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</si>
  <si>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</si>
  <si>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</si>
  <si>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</si>
  <si>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</si>
  <si>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</si>
  <si>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</si>
  <si>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</si>
  <si>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</si>
  <si>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</si>
  <si>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</si>
  <si>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</si>
  <si>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</si>
  <si>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</si>
  <si>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</si>
  <si>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</si>
  <si>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</si>
  <si>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</si>
  <si>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</si>
  <si>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</si>
  <si>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</si>
  <si>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</si>
  <si>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</si>
  <si>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</si>
  <si>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</si>
  <si>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</si>
  <si>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</si>
  <si>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</si>
  <si>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</si>
  <si>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</si>
  <si>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</si>
  <si>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</si>
  <si>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</si>
  <si>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</si>
  <si>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</si>
  <si>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</si>
  <si>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</si>
  <si>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</si>
  <si>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</si>
  <si>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</si>
  <si>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</si>
  <si>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</si>
  <si>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</si>
  <si>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</si>
  <si>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</si>
  <si>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</si>
  <si>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</si>
  <si>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</si>
  <si>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</si>
  <si>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</si>
  <si>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</si>
  <si>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</si>
  <si>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</si>
  <si>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</si>
  <si>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</si>
  <si>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</si>
  <si>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</si>
  <si>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</si>
  <si>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</si>
  <si>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</si>
  <si>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</si>
  <si>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</si>
  <si>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</si>
  <si>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</si>
  <si>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</si>
  <si>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</si>
  <si>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</si>
  <si>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</si>
  <si>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</si>
  <si>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</si>
  <si>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</si>
  <si>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</si>
  <si>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</si>
  <si>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</si>
  <si>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</si>
  <si>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</si>
  <si>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</si>
  <si>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</si>
  <si>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</si>
  <si>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</si>
  <si>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</si>
  <si>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</si>
  <si>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</si>
  <si>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</si>
  <si>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</si>
  <si>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</si>
  <si>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</si>
  <si>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</si>
  <si>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</si>
  <si>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</si>
  <si>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</si>
  <si>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</si>
  <si>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</si>
  <si>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</si>
  <si>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</si>
  <si>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</si>
  <si>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</si>
  <si>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</si>
  <si>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</si>
  <si>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</si>
  <si>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</si>
  <si>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</si>
  <si>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</si>
  <si>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</si>
  <si>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</si>
  <si>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</si>
  <si>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</si>
  <si>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</si>
  <si>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</si>
  <si>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</si>
  <si>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</si>
  <si>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</si>
  <si>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</si>
  <si>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</si>
  <si>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</si>
  <si>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</si>
  <si>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</si>
  <si>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</si>
  <si>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</si>
  <si>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</si>
  <si>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</si>
  <si>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</si>
  <si>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</si>
  <si>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</si>
  <si>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</si>
  <si>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</si>
  <si>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</si>
  <si>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</si>
  <si>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</si>
  <si>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</si>
  <si>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</si>
  <si>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</si>
  <si>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</si>
  <si>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</si>
  <si>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</si>
  <si>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</si>
  <si>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</si>
  <si>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</si>
  <si>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</si>
  <si>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</si>
  <si>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</si>
  <si>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</si>
  <si>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</si>
  <si>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</si>
  <si>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</si>
  <si>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</si>
  <si>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</si>
  <si>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</si>
  <si>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</si>
  <si>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</si>
  <si>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</si>
  <si>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</si>
  <si>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</si>
  <si>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</si>
  <si>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</si>
  <si>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</si>
  <si>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</si>
  <si>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</si>
  <si>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</si>
  <si>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</si>
  <si>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</si>
  <si>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</si>
  <si>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</si>
  <si>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</si>
  <si>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</si>
  <si>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</si>
  <si>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</si>
  <si>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</si>
  <si>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</si>
  <si>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</si>
  <si>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</si>
  <si>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</si>
  <si>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</si>
  <si>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</si>
  <si>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</si>
  <si>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</si>
  <si>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</si>
  <si>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</si>
  <si>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</si>
  <si>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</si>
  <si>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</si>
  <si>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</si>
  <si>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</si>
  <si>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</si>
  <si>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</si>
  <si>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</si>
  <si>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</si>
  <si>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</si>
  <si>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</si>
  <si>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</si>
  <si>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</si>
  <si>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</si>
  <si>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</si>
  <si>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</si>
  <si>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</si>
  <si>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</si>
  <si>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</si>
  <si>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</si>
  <si>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</si>
  <si>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</si>
  <si>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</si>
  <si>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</si>
  <si>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</si>
  <si>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</si>
  <si>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</si>
  <si>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</si>
  <si>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</si>
  <si>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</si>
  <si>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</si>
  <si>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</si>
  <si>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</si>
  <si>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</si>
  <si>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</si>
  <si>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</si>
  <si>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</si>
  <si>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</si>
  <si>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</si>
  <si>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</si>
  <si>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</si>
  <si>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</si>
  <si>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</si>
  <si>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</si>
  <si>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</si>
  <si>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</si>
  <si>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</si>
  <si>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</si>
  <si>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</si>
  <si>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</si>
  <si>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</si>
  <si>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</si>
  <si>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</si>
  <si>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</si>
  <si>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</si>
  <si>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</si>
  <si>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</si>
  <si>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</si>
  <si>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</si>
  <si>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</si>
  <si>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</si>
  <si>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</si>
  <si>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</si>
  <si>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</si>
  <si>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</si>
  <si>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</si>
  <si>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</si>
  <si>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</si>
  <si>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</si>
  <si>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</si>
  <si>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</si>
  <si>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</si>
  <si>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</si>
  <si>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</si>
  <si>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</si>
  <si>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</si>
  <si>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</si>
  <si>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</si>
  <si>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</si>
  <si>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</si>
  <si>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</si>
  <si>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</si>
  <si>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</si>
  <si>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</si>
  <si>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</si>
  <si>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</si>
  <si>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</si>
  <si>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</si>
  <si>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</si>
  <si>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</si>
  <si>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</si>
  <si>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</si>
  <si>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</si>
  <si>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</si>
  <si>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</si>
  <si>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</si>
  <si>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</si>
  <si>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</si>
  <si>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</si>
  <si>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</si>
  <si>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</si>
  <si>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</si>
  <si>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</si>
  <si>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</si>
  <si>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</si>
  <si>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</si>
  <si>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</si>
  <si>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</si>
  <si>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</si>
  <si>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</si>
  <si>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</si>
  <si>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</si>
  <si>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</si>
  <si>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</si>
  <si>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</si>
  <si>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</si>
  <si>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</si>
  <si>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</si>
  <si>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</si>
  <si>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</si>
  <si>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</si>
  <si>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</si>
  <si>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</si>
  <si>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</si>
  <si>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</si>
  <si>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</si>
  <si>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</si>
  <si>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</si>
  <si>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</si>
  <si>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</si>
  <si>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</si>
  <si>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</si>
  <si>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</si>
  <si>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</si>
  <si>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</si>
  <si>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</si>
  <si>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</si>
  <si>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</si>
  <si>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</si>
  <si>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</si>
  <si>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</si>
  <si>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</si>
  <si>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</si>
  <si>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</si>
  <si>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</si>
  <si>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</si>
  <si>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</si>
  <si>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</si>
  <si>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</si>
  <si>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</si>
  <si>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</si>
  <si>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</si>
  <si>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</si>
  <si>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</si>
  <si>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</si>
  <si>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</si>
  <si>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</si>
  <si>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</si>
  <si>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</si>
  <si>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</si>
  <si>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</si>
  <si>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</si>
  <si>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</si>
  <si>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</si>
  <si>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</si>
  <si>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</si>
  <si>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</si>
  <si>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</si>
  <si>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</si>
  <si>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</si>
  <si>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</si>
  <si>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</si>
  <si>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</si>
  <si>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</si>
  <si>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</si>
  <si>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</si>
  <si>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</si>
  <si>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</si>
  <si>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</si>
  <si>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</si>
  <si>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</si>
  <si>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</si>
  <si>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</si>
  <si>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</si>
  <si>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</si>
  <si>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</si>
  <si>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</si>
  <si>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</si>
  <si>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</si>
  <si>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</si>
  <si>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</si>
  <si>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</si>
  <si>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</si>
  <si>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</si>
  <si>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</si>
  <si>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</si>
  <si>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</si>
  <si>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</si>
  <si>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</si>
  <si>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</si>
  <si>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</si>
  <si>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</si>
  <si>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</si>
  <si>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</si>
  <si>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</si>
  <si>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</si>
  <si>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</si>
  <si>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</si>
  <si>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</si>
  <si>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</si>
  <si>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</si>
  <si>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</si>
  <si>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</si>
  <si>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</si>
  <si>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</si>
  <si>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</si>
  <si>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</si>
  <si>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</si>
  <si>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</si>
  <si>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</si>
  <si>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</si>
  <si>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</si>
  <si>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</si>
  <si>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</si>
  <si>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</si>
  <si>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</si>
  <si>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</si>
  <si>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</si>
  <si>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</si>
  <si>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</si>
  <si>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</si>
  <si>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</si>
  <si>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</si>
  <si>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</si>
  <si>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</si>
  <si>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</si>
  <si>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</si>
  <si>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</si>
  <si>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</si>
  <si>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</si>
  <si>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</si>
  <si>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</si>
  <si>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</si>
  <si>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</si>
  <si>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</si>
  <si>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</si>
  <si>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</si>
  <si>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</si>
  <si>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</si>
  <si>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</si>
  <si>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</si>
  <si>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</si>
  <si>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</si>
  <si>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</si>
  <si>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</si>
  <si>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</si>
  <si>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</si>
  <si>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</si>
  <si>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</si>
  <si>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</si>
  <si>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</si>
  <si>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</si>
  <si>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</si>
  <si>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</si>
  <si>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</si>
  <si>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</si>
  <si>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</si>
  <si>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</si>
  <si>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</si>
  <si>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</si>
  <si>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</si>
  <si>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</si>
  <si>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</si>
  <si>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</si>
  <si>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</si>
  <si>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</si>
  <si>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</si>
  <si>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</si>
  <si>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</si>
  <si>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</si>
  <si>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</si>
  <si>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</si>
  <si>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</si>
  <si>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</si>
  <si>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</si>
  <si>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</si>
  <si>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</si>
  <si>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</si>
  <si>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</si>
  <si>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</si>
  <si>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</si>
  <si>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</si>
  <si>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</si>
  <si>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</si>
  <si>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</si>
  <si>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</si>
  <si>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</si>
  <si>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</si>
  <si>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</si>
  <si>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</si>
  <si>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</si>
  <si>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</si>
  <si>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</si>
  <si>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</si>
  <si>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</si>
  <si>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</si>
  <si>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</si>
  <si>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</si>
  <si>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</si>
  <si>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</si>
  <si>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</si>
  <si>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</si>
  <si>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</si>
  <si>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</si>
  <si>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</si>
  <si>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</si>
  <si>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</si>
  <si>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</si>
  <si>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</si>
  <si>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</si>
  <si>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</si>
  <si>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</si>
  <si>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</si>
  <si>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</si>
  <si>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</si>
  <si>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</si>
  <si>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</si>
  <si>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</si>
  <si>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</si>
  <si>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</si>
  <si>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</si>
  <si>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</si>
  <si>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</si>
  <si>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</si>
  <si>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</si>
  <si>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</si>
  <si>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</si>
  <si>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</si>
  <si>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</si>
  <si>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</si>
  <si>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</si>
  <si>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</si>
  <si>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</si>
  <si>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</si>
  <si>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</si>
  <si>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</si>
  <si>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</si>
  <si>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</si>
  <si>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</si>
  <si>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</si>
  <si>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</si>
  <si>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</si>
  <si>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</si>
  <si>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</si>
  <si>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</si>
  <si>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</si>
  <si>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</si>
  <si>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</si>
  <si>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</si>
  <si>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</si>
  <si>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</si>
  <si>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</si>
  <si>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</si>
  <si>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</si>
  <si>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</si>
  <si>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</si>
  <si>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</si>
  <si>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</si>
  <si>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</si>
  <si>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</si>
  <si>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</si>
  <si>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</si>
  <si>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</si>
  <si>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</si>
  <si>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</si>
  <si>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</si>
  <si>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</si>
  <si>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</si>
  <si>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</si>
  <si>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</si>
  <si>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</si>
  <si>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</si>
  <si>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</si>
  <si>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</si>
  <si>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</si>
  <si>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</si>
  <si>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</si>
  <si>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</si>
  <si>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</si>
  <si>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</si>
  <si>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</si>
  <si>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</si>
  <si>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</si>
  <si>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</si>
  <si>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</si>
  <si>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</si>
  <si>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</si>
  <si>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</si>
  <si>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</si>
  <si>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</si>
  <si>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</si>
  <si>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</si>
  <si>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</si>
  <si>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</si>
  <si>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</si>
  <si>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</si>
  <si>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</si>
  <si>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</si>
  <si>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</si>
  <si>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</si>
  <si>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</si>
  <si>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</si>
  <si>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</si>
  <si>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</si>
  <si>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</si>
  <si>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</si>
  <si>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</si>
  <si>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</si>
  <si>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</si>
  <si>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</si>
  <si>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</si>
  <si>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</si>
  <si>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</si>
  <si>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</si>
  <si>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</si>
  <si>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</si>
  <si>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</si>
  <si>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</si>
  <si>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</si>
  <si>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</si>
  <si>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</si>
  <si>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</si>
  <si>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</si>
  <si>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</si>
  <si>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</si>
  <si>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</si>
  <si>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</si>
  <si>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</si>
  <si>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</si>
  <si>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</si>
  <si>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</si>
  <si>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</si>
  <si>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</si>
  <si>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</si>
  <si>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</si>
  <si>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</si>
  <si>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</si>
  <si>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</si>
  <si>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</si>
  <si>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</si>
  <si>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</si>
  <si>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</si>
  <si>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</si>
  <si>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</si>
  <si>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</si>
  <si>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</si>
  <si>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</si>
  <si>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</si>
  <si>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</si>
  <si>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</si>
  <si>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</si>
  <si>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</si>
  <si>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</si>
  <si>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</si>
  <si>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</si>
  <si>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</si>
  <si>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</si>
  <si>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</si>
  <si>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</si>
  <si>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</si>
  <si>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</si>
  <si>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</si>
  <si>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</si>
  <si>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</si>
  <si>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</si>
  <si>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</si>
  <si>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</si>
  <si>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</si>
  <si>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</si>
  <si>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</si>
  <si>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</si>
  <si>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</si>
  <si>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</si>
  <si>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</si>
  <si>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</si>
  <si>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</si>
  <si>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</si>
  <si>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</si>
  <si>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</si>
  <si>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</si>
  <si>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</si>
  <si>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</si>
  <si>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</si>
  <si>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</si>
  <si>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</si>
  <si>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</si>
  <si>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</si>
  <si>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</si>
  <si>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</si>
  <si>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</si>
  <si>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</si>
  <si>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</si>
  <si>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</si>
  <si>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</si>
  <si>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</si>
  <si>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</si>
  <si>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</si>
  <si>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</si>
  <si>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</si>
  <si>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</si>
  <si>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</si>
  <si>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</si>
  <si>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</si>
  <si>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</si>
  <si>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</si>
  <si>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</si>
  <si>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</si>
  <si>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</si>
  <si>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</si>
  <si>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</si>
  <si>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</si>
  <si>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</si>
  <si>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</si>
  <si>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</si>
  <si>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</si>
  <si>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</si>
  <si>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</si>
  <si>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</si>
  <si>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</si>
  <si>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</si>
  <si>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</si>
  <si>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</si>
  <si>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</si>
  <si>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</si>
  <si>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</si>
  <si>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</si>
  <si>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</si>
  <si>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</si>
  <si>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</si>
  <si>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</si>
  <si>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</si>
  <si>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</si>
  <si>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</si>
  <si>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</si>
  <si>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</si>
  <si>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</si>
  <si>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</si>
  <si>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</si>
  <si>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</si>
  <si>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</si>
  <si>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</si>
  <si>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</si>
  <si>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</si>
  <si>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</si>
  <si>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</si>
  <si>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</si>
  <si>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</si>
  <si>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</si>
  <si>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</si>
  <si>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</si>
  <si>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</si>
  <si>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</si>
  <si>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</si>
  <si>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</si>
  <si>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</si>
  <si>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</si>
  <si>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</si>
  <si>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</si>
  <si>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</si>
  <si>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</si>
  <si>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</si>
  <si>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</si>
  <si>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</si>
  <si>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</si>
  <si>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</si>
  <si>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</si>
  <si>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</si>
  <si>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</si>
  <si>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</si>
  <si>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</si>
  <si>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</si>
  <si>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</si>
  <si>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</si>
  <si>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</si>
  <si>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</si>
  <si>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</si>
  <si>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</si>
  <si>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</si>
  <si>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</si>
  <si>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</si>
  <si>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</si>
  <si>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</si>
  <si>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</si>
  <si>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</si>
  <si>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</si>
  <si>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</si>
  <si>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</si>
  <si>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</si>
  <si>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</si>
  <si>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</si>
  <si>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</si>
  <si>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</si>
  <si>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</si>
  <si>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</si>
  <si>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</si>
  <si>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</si>
  <si>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</si>
  <si>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</si>
  <si>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</si>
  <si>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</si>
  <si>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</si>
  <si>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</si>
  <si>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</si>
  <si>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</si>
  <si>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</si>
  <si>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</si>
  <si>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</si>
  <si>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</si>
  <si>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</si>
  <si>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</si>
  <si>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</si>
  <si>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</si>
  <si>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</si>
  <si>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</si>
  <si>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</si>
  <si>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</si>
  <si>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</si>
  <si>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</si>
  <si>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</si>
  <si>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</si>
  <si>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</si>
  <si>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</si>
  <si>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</si>
  <si>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</si>
  <si>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</si>
  <si>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</si>
  <si>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</si>
  <si>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</si>
  <si>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</si>
  <si>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</si>
  <si>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</si>
  <si>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</si>
  <si>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</si>
  <si>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</si>
  <si>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</si>
  <si>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</si>
  <si>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</si>
  <si>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</si>
  <si>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</si>
  <si>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</si>
  <si>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</si>
  <si>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</si>
  <si>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</si>
  <si>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</si>
  <si>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</si>
  <si>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</si>
  <si>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</si>
  <si>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</si>
  <si>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</si>
  <si>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</si>
  <si>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</si>
  <si>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</si>
  <si>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</si>
  <si>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</si>
  <si>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</si>
  <si>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</si>
  <si>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</si>
  <si>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</si>
  <si>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</si>
  <si>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</si>
  <si>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</si>
  <si>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</si>
  <si>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</si>
  <si>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</si>
  <si>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</si>
  <si>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</si>
  <si>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</si>
  <si>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</si>
  <si>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</si>
  <si>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</si>
  <si>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</si>
  <si>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</si>
  <si>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</si>
  <si>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</si>
  <si>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</si>
  <si>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</si>
  <si>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</si>
  <si>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</si>
  <si>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LaSalle</t>
  </si>
  <si>
    <t>174 Oak Street</t>
  </si>
  <si>
    <t>Seneca</t>
  </si>
  <si>
    <t>emisener@sgs170.org</t>
  </si>
  <si>
    <t>x</t>
  </si>
  <si>
    <t>Eric Misener</t>
  </si>
  <si>
    <t>jhohulin@gorenzcpa.com</t>
  </si>
  <si>
    <t>Jason A. Hohulin, CPA</t>
  </si>
  <si>
    <t xml:space="preserve"> Nicor - Natural Gas and Electric</t>
  </si>
  <si>
    <t>LaSalle County Regional Office - Food Co-Op</t>
  </si>
  <si>
    <t>LaSalle County R.O.E. - Training Workshops</t>
  </si>
  <si>
    <t>L.E.A.S.E. - Special Education</t>
  </si>
  <si>
    <t>MD Technologies</t>
  </si>
  <si>
    <t>L.E.A.S.E. - Training Workshops</t>
  </si>
  <si>
    <t>Grundy County Special Education Co-Op</t>
  </si>
  <si>
    <t>Mazon School District, Seneca High School</t>
  </si>
  <si>
    <t>10-2560-400</t>
  </si>
  <si>
    <t>Ed-Cafeteria-Supplies</t>
  </si>
  <si>
    <t>Kohl Wholesale</t>
  </si>
  <si>
    <t>40-2550-300</t>
  </si>
  <si>
    <t>Trans-Pupil Trans-Purch Serv</t>
  </si>
  <si>
    <t>MVK Elementary School</t>
  </si>
  <si>
    <t>Transportation With a Personal Touch</t>
  </si>
  <si>
    <t>There were no findings for the prior year ending June 30, 2018.</t>
  </si>
  <si>
    <t>NONE</t>
  </si>
  <si>
    <t>GORENZ AND ASSOCIATES, LTD.</t>
  </si>
  <si>
    <t>Previously Retired Issues</t>
  </si>
  <si>
    <t>Page 10, Cell C 74 - Cafeteria Rebates ($109)</t>
  </si>
  <si>
    <t>Page 10, Cell C92 - Ipad Sales ($50)</t>
  </si>
  <si>
    <t>Page 10, Cell C81 - Athletic Admissions ($6,120)</t>
  </si>
  <si>
    <t>Page 11, Cell D107 - Refunds and Reimbursements ($4,026)</t>
  </si>
  <si>
    <t>Page 12, Cell C168 - Library Grant ($750)</t>
  </si>
  <si>
    <t>Page 12, Cell C180 - REAP Grant ($36,874)</t>
  </si>
  <si>
    <t>Page 17, Cell E128 - Resource Officer ($17,972)</t>
  </si>
  <si>
    <t>10-2100-300</t>
  </si>
  <si>
    <t>MD Technology</t>
  </si>
  <si>
    <t>Center for Disability</t>
  </si>
  <si>
    <t>Hillman Pediatric Therapy</t>
  </si>
  <si>
    <t>Wright &amp; Associates</t>
  </si>
  <si>
    <t>10-2540-300</t>
  </si>
  <si>
    <t>Ed- Technology- Purch Serv</t>
  </si>
  <si>
    <t>Ed -Special Ed - Tuition</t>
  </si>
  <si>
    <t>10-1000-300</t>
  </si>
  <si>
    <t>Ed - Physical / Occupational Therapy - Purch Serv</t>
  </si>
  <si>
    <t>Ed - Arch / Engineer - Purch Serv</t>
  </si>
  <si>
    <t>Page 9, Line 17 - Payments in Lieu of Taxes ($3,768)</t>
  </si>
  <si>
    <t>Page 11, Line 107 - Refunds and Reimbursements ($10,589)</t>
  </si>
  <si>
    <t xml:space="preserve">Page 15, Line 41 - Tech and Computer Expenditures ($306,951) </t>
  </si>
  <si>
    <t>Page 17, line 120 - Misc. Tech and Computer Expenditures ($103,133)</t>
  </si>
  <si>
    <t>see PDF version</t>
  </si>
  <si>
    <t>Seneca CCSD 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</si>
</sst>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8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152400</xdr:rowOff>
        </xdr:from>
        <xdr:to>
          <xdr:col>1</xdr:col>
          <xdr:colOff>1962150</xdr:colOff>
          <xdr:row>5</xdr:row>
          <xdr:rowOff>28575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2070</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2070</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35050170004</v>
      </c>
      <c r="B13" s="2019"/>
      <c r="C13" s="2019"/>
      <c r="D13" s="2019"/>
      <c r="E13" s="2019"/>
      <c r="F13" s="2019"/>
      <c r="G13" s="2019"/>
      <c r="H13" s="2020"/>
      <c r="I13" s="31"/>
      <c r="J13" s="30"/>
      <c r="K13" s="28"/>
      <c r="L13" s="30"/>
      <c r="M13" s="30"/>
      <c r="N13" s="30"/>
      <c r="O13" s="30"/>
      <c r="P13" s="30"/>
      <c r="Q13" s="30"/>
      <c r="R13" s="30"/>
      <c r="S13" s="30"/>
      <c r="T13" s="2023" t="s">
        <v>2072</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2073</v>
      </c>
      <c r="B15" s="2021"/>
      <c r="C15" s="2021"/>
      <c r="D15" s="2021"/>
      <c r="E15" s="2021"/>
      <c r="F15" s="2021"/>
      <c r="G15" s="2021"/>
      <c r="H15" s="2022"/>
      <c r="T15" s="2027" t="s">
        <v>2080</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2123</v>
      </c>
      <c r="B17" s="1978"/>
      <c r="C17" s="1978"/>
      <c r="D17" s="1978"/>
      <c r="E17" s="1978"/>
      <c r="F17" s="1978"/>
      <c r="G17" s="1978"/>
      <c r="H17" s="2003"/>
      <c r="T17" s="2034" t="s">
        <v>2064</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2074</v>
      </c>
      <c r="B19" s="1963"/>
      <c r="C19" s="1963"/>
      <c r="D19" s="1963"/>
      <c r="E19" s="1963"/>
      <c r="F19" s="1963"/>
      <c r="G19" s="1963"/>
      <c r="H19" s="1943"/>
      <c r="I19" s="30"/>
      <c r="J19" s="99"/>
      <c r="K19" s="40"/>
      <c r="L19" s="38"/>
      <c r="M19" s="112" t="s">
        <v>315</v>
      </c>
      <c r="P19" s="27"/>
      <c r="Q19" s="27"/>
      <c r="R19" s="27"/>
      <c r="S19" s="31"/>
      <c r="T19" s="2017" t="s">
        <v>2065</v>
      </c>
      <c r="U19" s="1942"/>
      <c r="V19" s="1942"/>
      <c r="W19" s="1943"/>
      <c r="X19" s="2032" t="s">
        <v>2066</v>
      </c>
      <c r="Y19" s="2033"/>
      <c r="Z19" s="2030">
        <v>61614</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2075</v>
      </c>
      <c r="B21" s="1942"/>
      <c r="C21" s="1942"/>
      <c r="D21" s="1942"/>
      <c r="E21" s="1942"/>
      <c r="F21" s="1942"/>
      <c r="G21" s="1942"/>
      <c r="H21" s="1943"/>
      <c r="I21" s="1997" t="s">
        <v>678</v>
      </c>
      <c r="J21" s="1992"/>
      <c r="K21" s="1992"/>
      <c r="L21" s="1992"/>
      <c r="M21" s="1992"/>
      <c r="N21" s="1992"/>
      <c r="O21" s="1992"/>
      <c r="P21" s="1992"/>
      <c r="Q21" s="1992"/>
      <c r="R21" s="1992"/>
      <c r="S21" s="1998"/>
      <c r="T21" s="2041" t="s">
        <v>2067</v>
      </c>
      <c r="U21" s="2042"/>
      <c r="V21" s="2042"/>
      <c r="W21" s="2042"/>
      <c r="X21" s="2047" t="s">
        <v>2068</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t="s">
        <v>2076</v>
      </c>
      <c r="B23" s="1995"/>
      <c r="C23" s="1995"/>
      <c r="D23" s="1995"/>
      <c r="E23" s="1995"/>
      <c r="F23" s="1995"/>
      <c r="G23" s="1995"/>
      <c r="H23" s="1996"/>
      <c r="T23" s="1977" t="s">
        <v>2069</v>
      </c>
      <c r="U23" s="2040"/>
      <c r="V23" s="2040"/>
      <c r="W23" s="2040"/>
      <c r="X23" s="2044">
        <v>44501</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61360</v>
      </c>
      <c r="B25" s="1942"/>
      <c r="C25" s="1942"/>
      <c r="D25" s="1942"/>
      <c r="E25" s="1942"/>
      <c r="F25" s="1942"/>
      <c r="G25" s="1942"/>
      <c r="H25" s="1943"/>
      <c r="I25" s="113"/>
      <c r="J25" s="1966"/>
      <c r="K25" s="1966"/>
      <c r="L25" s="1966"/>
      <c r="M25" s="1966"/>
      <c r="N25" s="1966"/>
      <c r="O25" s="1966"/>
      <c r="P25" s="1966"/>
      <c r="Q25" s="1966"/>
      <c r="R25" s="1966"/>
      <c r="S25" s="1967"/>
      <c r="T25" s="2037" t="s">
        <v>2079</v>
      </c>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2078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t="s">
        <v>2076</v>
      </c>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v>8153578744</v>
      </c>
      <c r="B42" s="1961"/>
      <c r="C42" s="1962"/>
      <c r="D42" s="1960">
        <v>8153571516</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183" t="s">
        <v>1802</v>
      </c>
      <c r="B2" s="1524" t="s">
        <v>1951</v>
      </c>
      <c r="C2" s="711" t="s">
        <v>1952</v>
      </c>
      <c r="D2" s="711" t="s">
        <v>1953</v>
      </c>
      <c r="E2" s="711" t="s">
        <v>1954</v>
      </c>
      <c r="F2" s="711" t="s">
        <v>1955</v>
      </c>
    </row>
    <row r="3" spans="1:6" ht="12" customHeight="1" x14ac:dyDescent="0.2">
      <c r="A3" s="2184"/>
      <c r="B3" s="1521"/>
      <c r="C3" s="1522"/>
      <c r="D3" s="1523" t="s">
        <v>256</v>
      </c>
      <c r="E3" s="1522"/>
      <c r="F3" s="1523" t="s">
        <v>257</v>
      </c>
    </row>
    <row r="4" spans="1:6" ht="13.7" customHeight="1" x14ac:dyDescent="0.2">
      <c r="A4" s="712" t="s">
        <v>1155</v>
      </c>
      <c r="B4" s="1745">
        <f>'Revenues 9-14'!C5</f>
        <v>4958902</v>
      </c>
      <c r="C4" s="1520">
        <v>0</v>
      </c>
      <c r="D4" s="1748">
        <f>B4-C4</f>
        <v>4958902</v>
      </c>
      <c r="E4" s="1520">
        <v>4966208</v>
      </c>
      <c r="F4" s="1748">
        <f>E4-C4</f>
        <v>4966208</v>
      </c>
    </row>
    <row r="5" spans="1:6" ht="13.7" customHeight="1" x14ac:dyDescent="0.2">
      <c r="A5" s="712" t="s">
        <v>870</v>
      </c>
      <c r="B5" s="1746">
        <f>'Revenues 9-14'!D5</f>
        <v>1221003</v>
      </c>
      <c r="C5" s="582">
        <v>0</v>
      </c>
      <c r="D5" s="1749">
        <f t="shared" ref="D5:D18" si="0">B5-C5</f>
        <v>1221003</v>
      </c>
      <c r="E5" s="582">
        <v>1228215</v>
      </c>
      <c r="F5" s="1749">
        <f>E5-C5</f>
        <v>1228215</v>
      </c>
    </row>
    <row r="6" spans="1:6" ht="13.7" customHeight="1" x14ac:dyDescent="0.2">
      <c r="A6" s="712" t="s">
        <v>411</v>
      </c>
      <c r="B6" s="1746">
        <f>'Revenues 9-14'!E5</f>
        <v>0</v>
      </c>
      <c r="C6" s="582">
        <v>0</v>
      </c>
      <c r="D6" s="1749">
        <f t="shared" si="0"/>
        <v>0</v>
      </c>
      <c r="E6" s="582">
        <v>0</v>
      </c>
      <c r="F6" s="1749">
        <f t="shared" ref="F6:F18" si="1">E6-C6</f>
        <v>0</v>
      </c>
    </row>
    <row r="7" spans="1:6" ht="13.7" customHeight="1" x14ac:dyDescent="0.2">
      <c r="A7" s="712" t="s">
        <v>155</v>
      </c>
      <c r="B7" s="1746">
        <f>'Revenues 9-14'!F5</f>
        <v>237652</v>
      </c>
      <c r="C7" s="582">
        <v>0</v>
      </c>
      <c r="D7" s="1749">
        <f t="shared" si="0"/>
        <v>237652</v>
      </c>
      <c r="E7" s="582">
        <v>308444</v>
      </c>
      <c r="F7" s="1749">
        <f t="shared" si="1"/>
        <v>308444</v>
      </c>
    </row>
    <row r="8" spans="1:6" ht="13.7" customHeight="1" x14ac:dyDescent="0.2">
      <c r="A8" s="712" t="s">
        <v>1179</v>
      </c>
      <c r="B8" s="1746">
        <f>'Revenues 9-14'!G5</f>
        <v>53178</v>
      </c>
      <c r="C8" s="582">
        <v>0</v>
      </c>
      <c r="D8" s="1749">
        <f t="shared" si="0"/>
        <v>53178</v>
      </c>
      <c r="E8" s="582">
        <v>53403</v>
      </c>
      <c r="F8" s="1749">
        <f t="shared" si="1"/>
        <v>53403</v>
      </c>
    </row>
    <row r="9" spans="1:6" ht="13.7" customHeight="1" x14ac:dyDescent="0.2">
      <c r="A9" s="712" t="s">
        <v>408</v>
      </c>
      <c r="B9" s="1746">
        <f>'Revenues 9-14'!H5</f>
        <v>0</v>
      </c>
      <c r="C9" s="582">
        <v>0</v>
      </c>
      <c r="D9" s="1749">
        <f t="shared" si="0"/>
        <v>0</v>
      </c>
      <c r="E9" s="582">
        <v>0</v>
      </c>
      <c r="F9" s="1749">
        <f t="shared" si="1"/>
        <v>0</v>
      </c>
    </row>
    <row r="10" spans="1:6" ht="13.7" customHeight="1" x14ac:dyDescent="0.2">
      <c r="A10" s="712" t="s">
        <v>407</v>
      </c>
      <c r="B10" s="1746">
        <f>'Revenues 9-14'!I5</f>
        <v>106149</v>
      </c>
      <c r="C10" s="582">
        <v>0</v>
      </c>
      <c r="D10" s="1749">
        <f t="shared" si="0"/>
        <v>106149</v>
      </c>
      <c r="E10" s="582">
        <v>114129</v>
      </c>
      <c r="F10" s="1749">
        <f t="shared" si="1"/>
        <v>114129</v>
      </c>
    </row>
    <row r="11" spans="1:6" x14ac:dyDescent="0.2">
      <c r="A11" s="712" t="s">
        <v>409</v>
      </c>
      <c r="B11" s="1746">
        <f>'Revenues 9-14'!J5</f>
        <v>105622</v>
      </c>
      <c r="C11" s="582">
        <v>0</v>
      </c>
      <c r="D11" s="1749">
        <f t="shared" si="0"/>
        <v>105622</v>
      </c>
      <c r="E11" s="582">
        <v>106806</v>
      </c>
      <c r="F11" s="1749">
        <f t="shared" si="1"/>
        <v>106806</v>
      </c>
    </row>
    <row r="12" spans="1:6" ht="13.7" customHeight="1" x14ac:dyDescent="0.2">
      <c r="A12" s="712" t="s">
        <v>157</v>
      </c>
      <c r="B12" s="1746">
        <f>'Revenues 9-14'!K5</f>
        <v>0</v>
      </c>
      <c r="C12" s="582">
        <v>0</v>
      </c>
      <c r="D12" s="1749">
        <f t="shared" si="0"/>
        <v>0</v>
      </c>
      <c r="E12" s="582">
        <v>0</v>
      </c>
      <c r="F12" s="1749">
        <f t="shared" si="1"/>
        <v>0</v>
      </c>
    </row>
    <row r="13" spans="1:6" ht="13.7" customHeight="1" x14ac:dyDescent="0.2">
      <c r="A13" s="712" t="s">
        <v>936</v>
      </c>
      <c r="B13" s="1746">
        <f>SUM('Revenues 9-14'!C6:D6)</f>
        <v>0</v>
      </c>
      <c r="C13" s="582">
        <v>0</v>
      </c>
      <c r="D13" s="1749">
        <f t="shared" si="0"/>
        <v>0</v>
      </c>
      <c r="E13" s="582">
        <v>0</v>
      </c>
      <c r="F13" s="1749">
        <f t="shared" si="1"/>
        <v>0</v>
      </c>
    </row>
    <row r="14" spans="1:6" ht="13.7" customHeight="1" x14ac:dyDescent="0.2">
      <c r="A14" s="712" t="s">
        <v>410</v>
      </c>
      <c r="B14" s="1746">
        <f>SUM('Revenues 9-14'!C7:D7,'Revenues 9-14'!F7:H7)</f>
        <v>105623</v>
      </c>
      <c r="C14" s="582">
        <v>0</v>
      </c>
      <c r="D14" s="1749">
        <f t="shared" si="0"/>
        <v>105623</v>
      </c>
      <c r="E14" s="582">
        <v>106806</v>
      </c>
      <c r="F14" s="1749">
        <f t="shared" si="1"/>
        <v>106806</v>
      </c>
    </row>
    <row r="15" spans="1:6" ht="13.7" customHeight="1" x14ac:dyDescent="0.2">
      <c r="A15" s="712" t="s">
        <v>1158</v>
      </c>
      <c r="B15" s="1746">
        <f>SUM('Revenues 9-14'!D9:E9,'Revenues 9-14'!H9)</f>
        <v>0</v>
      </c>
      <c r="C15" s="582">
        <v>0</v>
      </c>
      <c r="D15" s="1749">
        <f t="shared" si="0"/>
        <v>0</v>
      </c>
      <c r="E15" s="582">
        <v>0</v>
      </c>
      <c r="F15" s="1749">
        <f t="shared" si="1"/>
        <v>0</v>
      </c>
    </row>
    <row r="16" spans="1:6" ht="13.7" customHeight="1" x14ac:dyDescent="0.2">
      <c r="A16" s="712" t="s">
        <v>1159</v>
      </c>
      <c r="B16" s="1746">
        <f>'Revenues 9-14'!G8</f>
        <v>144698</v>
      </c>
      <c r="C16" s="582">
        <v>0</v>
      </c>
      <c r="D16" s="1749">
        <f t="shared" si="0"/>
        <v>144698</v>
      </c>
      <c r="E16" s="582">
        <v>133534</v>
      </c>
      <c r="F16" s="1749">
        <f t="shared" si="1"/>
        <v>133534</v>
      </c>
    </row>
    <row r="17" spans="1:6" ht="13.7" customHeight="1" x14ac:dyDescent="0.2">
      <c r="A17" s="712" t="s">
        <v>1160</v>
      </c>
      <c r="B17" s="1746">
        <f>'Revenues 9-14'!C10</f>
        <v>0</v>
      </c>
      <c r="C17" s="582">
        <v>0</v>
      </c>
      <c r="D17" s="1749">
        <f t="shared" si="0"/>
        <v>0</v>
      </c>
      <c r="E17" s="582">
        <v>0</v>
      </c>
      <c r="F17" s="1749">
        <f t="shared" si="1"/>
        <v>0</v>
      </c>
    </row>
    <row r="18" spans="1:6" ht="13.7" customHeight="1" x14ac:dyDescent="0.2">
      <c r="A18" s="712" t="s">
        <v>762</v>
      </c>
      <c r="B18" s="1746">
        <f>SUM('Revenues 9-14'!C11:K11)</f>
        <v>0</v>
      </c>
      <c r="C18" s="582">
        <v>0</v>
      </c>
      <c r="D18" s="1749">
        <f t="shared" si="0"/>
        <v>0</v>
      </c>
      <c r="E18" s="582">
        <v>0</v>
      </c>
      <c r="F18" s="1749">
        <f t="shared" si="1"/>
        <v>0</v>
      </c>
    </row>
    <row r="19" spans="1:6" ht="13.7" customHeight="1" thickBot="1" x14ac:dyDescent="0.25">
      <c r="A19" s="1750" t="s">
        <v>1161</v>
      </c>
      <c r="B19" s="1747">
        <f>SUM(B4:B18)</f>
        <v>6932827</v>
      </c>
      <c r="C19" s="1747">
        <f>SUM(C4:C18)</f>
        <v>0</v>
      </c>
      <c r="D19" s="1747">
        <f>SUM(D4:D18)</f>
        <v>6932827</v>
      </c>
      <c r="E19" s="1747">
        <f>SUM(E4:E18)</f>
        <v>7017545</v>
      </c>
      <c r="F19" s="1747">
        <f>SUM(F4:F18)</f>
        <v>7017545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18"/>
    </row>
    <row r="2" spans="1:7" ht="33.75" x14ac:dyDescent="0.2">
      <c r="A2" s="2210" t="s">
        <v>1802</v>
      </c>
      <c r="B2" s="2211"/>
      <c r="C2" s="1880" t="s">
        <v>1956</v>
      </c>
      <c r="D2" s="720" t="s">
        <v>1957</v>
      </c>
      <c r="E2" s="720" t="s">
        <v>1958</v>
      </c>
      <c r="F2" s="1880" t="s">
        <v>1959</v>
      </c>
    </row>
    <row r="3" spans="1:7" ht="15.75" customHeight="1" x14ac:dyDescent="0.2">
      <c r="A3" s="2212" t="s">
        <v>1114</v>
      </c>
      <c r="B3" s="2213"/>
      <c r="C3" s="2206"/>
      <c r="D3" s="2207"/>
      <c r="E3" s="2207"/>
      <c r="F3" s="2208"/>
    </row>
    <row r="4" spans="1:7" ht="12.75" customHeight="1" thickBot="1" x14ac:dyDescent="0.25">
      <c r="A4" s="2200" t="s">
        <v>630</v>
      </c>
      <c r="B4" s="2201"/>
      <c r="C4" s="578"/>
      <c r="D4" s="578"/>
      <c r="E4" s="578"/>
      <c r="F4" s="1751">
        <f>SUM(C4+D4)-E4</f>
        <v>0</v>
      </c>
    </row>
    <row r="5" spans="1:7" ht="15.75" customHeight="1" thickTop="1" x14ac:dyDescent="0.2">
      <c r="A5" s="2204" t="s">
        <v>1110</v>
      </c>
      <c r="B5" s="2199"/>
      <c r="C5" s="2193"/>
      <c r="D5" s="2194"/>
      <c r="E5" s="2194"/>
      <c r="F5" s="2195"/>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196" t="s">
        <v>631</v>
      </c>
      <c r="B15" s="2197"/>
      <c r="C15" s="1751">
        <f>SUM(C6:C14)</f>
        <v>0</v>
      </c>
      <c r="D15" s="1751">
        <f>SUM(D6:D14)</f>
        <v>0</v>
      </c>
      <c r="E15" s="1751">
        <f>SUM(E6:E14)</f>
        <v>0</v>
      </c>
      <c r="F15" s="1751">
        <f>SUM(F6:F14)</f>
        <v>0</v>
      </c>
      <c r="G15" s="549"/>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3"/>
      <c r="D17" s="582"/>
      <c r="E17" s="723"/>
      <c r="F17" s="1751">
        <f>SUM(C17+D17)-E17</f>
        <v>0</v>
      </c>
    </row>
    <row r="18" spans="1:11" ht="12.75" customHeight="1" thickTop="1" thickBot="1" x14ac:dyDescent="0.25">
      <c r="A18" s="2191" t="s">
        <v>6</v>
      </c>
      <c r="B18" s="2192"/>
      <c r="C18" s="723"/>
      <c r="D18" s="582"/>
      <c r="E18" s="723"/>
      <c r="F18" s="1751">
        <f>SUM(C18+D18)-E18</f>
        <v>0</v>
      </c>
    </row>
    <row r="19" spans="1:11" ht="12.75" customHeight="1" thickTop="1" thickBot="1" x14ac:dyDescent="0.25">
      <c r="A19" s="2191" t="s">
        <v>388</v>
      </c>
      <c r="B19" s="2192"/>
      <c r="C19" s="723"/>
      <c r="D19" s="582"/>
      <c r="E19" s="723"/>
      <c r="F19" s="1751">
        <f>SUM(C19+D19)-E19</f>
        <v>0</v>
      </c>
    </row>
    <row r="20" spans="1:11" ht="12.75" customHeight="1" thickTop="1" thickBot="1" x14ac:dyDescent="0.25">
      <c r="A20" s="2191" t="s">
        <v>448</v>
      </c>
      <c r="B20" s="2192"/>
      <c r="C20" s="723"/>
      <c r="D20" s="582"/>
      <c r="E20" s="723"/>
      <c r="F20" s="1751">
        <f>SUM(C20+D20)-E20</f>
        <v>0</v>
      </c>
    </row>
    <row r="21" spans="1:11" ht="14.25" thickTop="1" thickBot="1" x14ac:dyDescent="0.25">
      <c r="A21" s="2196" t="s">
        <v>632</v>
      </c>
      <c r="B21" s="2197"/>
      <c r="C21" s="1751">
        <f>SUM(C17:C20)</f>
        <v>0</v>
      </c>
      <c r="D21" s="1751">
        <f>SUM(D17:D20)</f>
        <v>0</v>
      </c>
      <c r="E21" s="1751">
        <f>SUM(E17:E20)</f>
        <v>0</v>
      </c>
      <c r="F21" s="1751">
        <f>SUM(F17:F20)</f>
        <v>0</v>
      </c>
      <c r="G21" s="549"/>
    </row>
    <row r="22" spans="1:11" ht="15.75" customHeight="1" thickTop="1" x14ac:dyDescent="0.2">
      <c r="A22" s="2198" t="s">
        <v>1112</v>
      </c>
      <c r="B22" s="2199"/>
      <c r="C22" s="2193"/>
      <c r="D22" s="2194"/>
      <c r="E22" s="2194"/>
      <c r="F22" s="2195"/>
    </row>
    <row r="23" spans="1:11" ht="13.5" thickBot="1" x14ac:dyDescent="0.25">
      <c r="A23" s="2200" t="s">
        <v>633</v>
      </c>
      <c r="B23" s="2201"/>
      <c r="C23" s="578"/>
      <c r="D23" s="578"/>
      <c r="E23" s="578"/>
      <c r="F23" s="1751">
        <f>SUM(C23+D23)-E23</f>
        <v>0</v>
      </c>
      <c r="G23" s="549"/>
    </row>
    <row r="24" spans="1:11" ht="15.75" customHeight="1" thickTop="1" x14ac:dyDescent="0.2">
      <c r="A24" s="2198" t="s">
        <v>1113</v>
      </c>
      <c r="B24" s="2199"/>
      <c r="C24" s="2193"/>
      <c r="D24" s="2194"/>
      <c r="E24" s="2194"/>
      <c r="F24" s="2195"/>
    </row>
    <row r="25" spans="1:11" ht="13.5" thickBot="1" x14ac:dyDescent="0.25">
      <c r="A25" s="2200" t="s">
        <v>634</v>
      </c>
      <c r="B25" s="2201"/>
      <c r="C25" s="578"/>
      <c r="D25" s="578"/>
      <c r="E25" s="578"/>
      <c r="F25" s="1751">
        <f>SUM(C25+D25)-E25</f>
        <v>0</v>
      </c>
      <c r="G25" s="549"/>
    </row>
    <row r="26" spans="1:11" ht="15.75" customHeight="1" thickTop="1" x14ac:dyDescent="0.2">
      <c r="A26" s="2204" t="s">
        <v>657</v>
      </c>
      <c r="B26" s="2199"/>
      <c r="C26" s="724"/>
      <c r="D26" s="724"/>
      <c r="E26" s="724"/>
      <c r="F26" s="725"/>
    </row>
    <row r="27" spans="1:11" ht="13.5" thickBot="1" x14ac:dyDescent="0.25">
      <c r="A27" s="2196" t="s">
        <v>1070</v>
      </c>
      <c r="B27" s="2197"/>
      <c r="C27" s="582"/>
      <c r="D27" s="582"/>
      <c r="E27" s="582"/>
      <c r="F27" s="1751">
        <f>SUM(C27+D27)-E27</f>
        <v>0</v>
      </c>
      <c r="G27" s="549"/>
    </row>
    <row r="28" spans="1:11" ht="7.5" customHeight="1" thickTop="1" x14ac:dyDescent="0.2">
      <c r="A28" s="590"/>
    </row>
    <row r="29" spans="1:11" ht="23.25" customHeight="1" x14ac:dyDescent="0.2">
      <c r="A29" s="2202" t="s">
        <v>582</v>
      </c>
      <c r="B29" s="2203"/>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t="s">
        <v>2099</v>
      </c>
      <c r="B31" s="730"/>
      <c r="C31" s="731"/>
      <c r="D31" s="732"/>
      <c r="E31" s="731"/>
      <c r="F31" s="731"/>
      <c r="G31" s="731"/>
      <c r="H31" s="731"/>
      <c r="I31" s="1752">
        <f>((E31+F31)-H31)+G31</f>
        <v>0</v>
      </c>
      <c r="J31" s="731">
        <v>-35460</v>
      </c>
      <c r="K31" s="733"/>
    </row>
    <row r="32" spans="1:11" ht="12" customHeight="1" x14ac:dyDescent="0.2">
      <c r="A32" s="729"/>
      <c r="B32" s="730"/>
      <c r="C32" s="731"/>
      <c r="D32" s="732"/>
      <c r="E32" s="731"/>
      <c r="F32" s="731"/>
      <c r="G32" s="731"/>
      <c r="H32" s="731"/>
      <c r="I32" s="1752">
        <f>((E32+F32)-H32)+G32</f>
        <v>0</v>
      </c>
      <c r="J32" s="731"/>
      <c r="K32" s="733"/>
    </row>
    <row r="33" spans="1:11" ht="12" customHeight="1" x14ac:dyDescent="0.2">
      <c r="A33" s="729"/>
      <c r="B33" s="730"/>
      <c r="C33" s="731"/>
      <c r="D33" s="732"/>
      <c r="E33" s="731"/>
      <c r="F33" s="731"/>
      <c r="G33" s="731"/>
      <c r="H33" s="731"/>
      <c r="I33" s="1752">
        <f t="shared" ref="I33:I48" si="1">((E33+F33)-H33)+G33</f>
        <v>0</v>
      </c>
      <c r="J33" s="731"/>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0</v>
      </c>
      <c r="D49" s="742"/>
      <c r="E49" s="1752">
        <f t="shared" ref="E49:J49" si="2">SUM(E31:E48)</f>
        <v>0</v>
      </c>
      <c r="F49" s="1752">
        <f t="shared" si="2"/>
        <v>0</v>
      </c>
      <c r="G49" s="1752">
        <f t="shared" si="2"/>
        <v>0</v>
      </c>
      <c r="H49" s="1752">
        <f t="shared" si="2"/>
        <v>0</v>
      </c>
      <c r="I49" s="1752">
        <f t="shared" si="2"/>
        <v>0</v>
      </c>
      <c r="J49" s="1752">
        <f t="shared" si="2"/>
        <v>-35460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85" t="s">
        <v>584</v>
      </c>
      <c r="C52" s="2186"/>
      <c r="D52" s="2186"/>
      <c r="E52" s="746" t="s">
        <v>845</v>
      </c>
      <c r="F52" s="2187"/>
      <c r="G52" s="2188"/>
      <c r="H52" s="733"/>
      <c r="I52" s="733"/>
      <c r="J52" s="743"/>
    </row>
    <row r="53" spans="1:11" ht="11.25" customHeight="1" x14ac:dyDescent="0.2">
      <c r="A53" s="747" t="s">
        <v>913</v>
      </c>
      <c r="B53" s="748" t="s">
        <v>951</v>
      </c>
      <c r="C53" s="743"/>
      <c r="D53" s="734"/>
      <c r="E53" s="746" t="s">
        <v>497</v>
      </c>
      <c r="F53" s="2189"/>
      <c r="G53" s="2190"/>
      <c r="H53" s="733"/>
      <c r="I53" s="733"/>
      <c r="J53" s="743"/>
    </row>
    <row r="54" spans="1:11" ht="11.25" customHeight="1" x14ac:dyDescent="0.2">
      <c r="A54" s="749" t="s">
        <v>914</v>
      </c>
      <c r="B54" s="744" t="s">
        <v>952</v>
      </c>
      <c r="C54" s="743"/>
      <c r="D54" s="734"/>
      <c r="E54" s="746" t="s">
        <v>498</v>
      </c>
      <c r="F54" s="2189"/>
      <c r="G54" s="2190"/>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26"/>
      <c r="I1" s="757"/>
      <c r="J1" s="433"/>
    </row>
    <row r="2" spans="1:11" ht="26.25" x14ac:dyDescent="0.2">
      <c r="A2" s="2233" t="s">
        <v>1677</v>
      </c>
      <c r="B2" s="2234"/>
      <c r="C2" s="2234"/>
      <c r="D2" s="2234"/>
      <c r="E2" s="2235"/>
      <c r="F2" s="758" t="s">
        <v>904</v>
      </c>
      <c r="G2" s="759" t="s">
        <v>1674</v>
      </c>
      <c r="H2" s="759" t="s">
        <v>410</v>
      </c>
      <c r="I2" s="759" t="s">
        <v>1158</v>
      </c>
      <c r="J2" s="759" t="s">
        <v>1812</v>
      </c>
      <c r="K2" s="759" t="s">
        <v>138</v>
      </c>
    </row>
    <row r="3" spans="1:11" x14ac:dyDescent="0.2">
      <c r="A3" s="2236" t="s">
        <v>1964</v>
      </c>
      <c r="B3" s="2237"/>
      <c r="C3" s="2237"/>
      <c r="D3" s="2237"/>
      <c r="E3" s="2238"/>
      <c r="F3" s="760"/>
      <c r="G3" s="761"/>
      <c r="H3" s="761"/>
      <c r="I3" s="761"/>
      <c r="J3" s="762"/>
      <c r="K3" s="762"/>
    </row>
    <row r="4" spans="1:11" x14ac:dyDescent="0.2">
      <c r="A4" s="2239" t="s">
        <v>369</v>
      </c>
      <c r="B4" s="2240"/>
      <c r="C4" s="2240"/>
      <c r="D4" s="2240"/>
      <c r="E4" s="2186"/>
      <c r="F4" s="763"/>
      <c r="G4" s="764"/>
      <c r="H4" s="765"/>
      <c r="I4" s="764"/>
      <c r="J4" s="766"/>
      <c r="K4" s="766"/>
    </row>
    <row r="5" spans="1:11" x14ac:dyDescent="0.2">
      <c r="A5" s="2217" t="s">
        <v>1069</v>
      </c>
      <c r="B5" s="2218"/>
      <c r="C5" s="2218"/>
      <c r="D5" s="2218"/>
      <c r="E5" s="2219"/>
      <c r="F5" s="767" t="s">
        <v>848</v>
      </c>
      <c r="G5" s="768"/>
      <c r="H5" s="761">
        <v>105623</v>
      </c>
      <c r="I5" s="769"/>
      <c r="J5" s="770"/>
      <c r="K5" s="770"/>
    </row>
    <row r="6" spans="1:11" x14ac:dyDescent="0.2">
      <c r="A6" s="771" t="s">
        <v>720</v>
      </c>
      <c r="B6" s="772"/>
      <c r="C6" s="772"/>
      <c r="D6" s="772"/>
      <c r="E6" s="773"/>
      <c r="F6" s="774" t="s">
        <v>849</v>
      </c>
      <c r="G6" s="761"/>
      <c r="H6" s="761">
        <v>78</v>
      </c>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17" t="s">
        <v>1813</v>
      </c>
      <c r="B10" s="2218"/>
      <c r="C10" s="2218"/>
      <c r="D10" s="2218"/>
      <c r="E10" s="2220"/>
      <c r="F10" s="780" t="s">
        <v>862</v>
      </c>
      <c r="G10" s="779"/>
      <c r="H10" s="781"/>
      <c r="I10" s="761"/>
      <c r="J10" s="762"/>
      <c r="K10" s="762"/>
    </row>
    <row r="11" spans="1:11" x14ac:dyDescent="0.2">
      <c r="A11" s="2217" t="s">
        <v>160</v>
      </c>
      <c r="B11" s="2218"/>
      <c r="C11" s="2218"/>
      <c r="D11" s="2218"/>
      <c r="E11" s="2219"/>
      <c r="F11" s="767" t="s">
        <v>852</v>
      </c>
      <c r="G11" s="768"/>
      <c r="H11" s="761"/>
      <c r="I11" s="761"/>
      <c r="J11" s="762"/>
      <c r="K11" s="770"/>
    </row>
    <row r="12" spans="1:11" ht="13.5" thickBot="1" x14ac:dyDescent="0.25">
      <c r="A12" s="2244" t="s">
        <v>905</v>
      </c>
      <c r="B12" s="2245"/>
      <c r="C12" s="2245"/>
      <c r="D12" s="2245"/>
      <c r="E12" s="2246"/>
      <c r="F12" s="1753"/>
      <c r="G12" s="1754">
        <f>SUM(G5:G11)</f>
        <v>0</v>
      </c>
      <c r="H12" s="1754">
        <f>SUM(H5:H11)</f>
        <v>105701</v>
      </c>
      <c r="I12" s="1754">
        <f>SUM(I5:I11)</f>
        <v>0</v>
      </c>
      <c r="J12" s="1754">
        <f>SUM(J5:J11)</f>
        <v>0</v>
      </c>
      <c r="K12" s="1754">
        <f>SUM(K5:K11)</f>
        <v>0</v>
      </c>
    </row>
    <row r="13" spans="1:11" ht="13.5" thickTop="1" x14ac:dyDescent="0.2">
      <c r="A13" s="2241" t="s">
        <v>370</v>
      </c>
      <c r="B13" s="2242"/>
      <c r="C13" s="2242"/>
      <c r="D13" s="2242"/>
      <c r="E13" s="2243"/>
      <c r="F13" s="782"/>
      <c r="G13" s="783"/>
      <c r="H13" s="784"/>
      <c r="I13" s="785"/>
      <c r="J13" s="785"/>
      <c r="K13" s="785"/>
    </row>
    <row r="14" spans="1:11" x14ac:dyDescent="0.2">
      <c r="A14" s="2224" t="s">
        <v>456</v>
      </c>
      <c r="B14" s="2224"/>
      <c r="C14" s="2224"/>
      <c r="D14" s="2224"/>
      <c r="E14" s="2225"/>
      <c r="F14" s="786" t="s">
        <v>854</v>
      </c>
      <c r="G14" s="779"/>
      <c r="H14" s="761">
        <v>105701</v>
      </c>
      <c r="I14" s="768"/>
      <c r="J14" s="770"/>
      <c r="K14" s="762"/>
    </row>
    <row r="15" spans="1:11" x14ac:dyDescent="0.2">
      <c r="A15" s="2218" t="s">
        <v>4</v>
      </c>
      <c r="B15" s="2218"/>
      <c r="C15" s="2218"/>
      <c r="D15" s="2218"/>
      <c r="E15" s="2219"/>
      <c r="F15" s="786" t="s">
        <v>855</v>
      </c>
      <c r="G15" s="768"/>
      <c r="H15" s="761"/>
      <c r="I15" s="761"/>
      <c r="J15" s="762"/>
      <c r="K15" s="762"/>
    </row>
    <row r="16" spans="1:11" x14ac:dyDescent="0.2">
      <c r="A16" s="2218" t="s">
        <v>298</v>
      </c>
      <c r="B16" s="2218"/>
      <c r="C16" s="2218"/>
      <c r="D16" s="2218"/>
      <c r="E16" s="2219"/>
      <c r="F16" s="786" t="s">
        <v>923</v>
      </c>
      <c r="G16" s="769"/>
      <c r="H16" s="764"/>
      <c r="I16" s="764"/>
      <c r="J16" s="766"/>
      <c r="K16" s="766"/>
    </row>
    <row r="17" spans="1:11" x14ac:dyDescent="0.2">
      <c r="A17" s="2249" t="s">
        <v>935</v>
      </c>
      <c r="B17" s="2249"/>
      <c r="C17" s="2249"/>
      <c r="D17" s="2249"/>
      <c r="E17" s="2250"/>
      <c r="F17" s="787"/>
      <c r="G17" s="788"/>
      <c r="H17" s="789"/>
      <c r="I17" s="789"/>
      <c r="J17" s="790"/>
      <c r="K17" s="791"/>
    </row>
    <row r="18" spans="1:11" x14ac:dyDescent="0.2">
      <c r="A18" s="2228" t="s">
        <v>368</v>
      </c>
      <c r="B18" s="2229"/>
      <c r="C18" s="2229"/>
      <c r="D18" s="2229"/>
      <c r="E18" s="2230"/>
      <c r="F18" s="786" t="s">
        <v>932</v>
      </c>
      <c r="G18" s="779"/>
      <c r="H18" s="779"/>
      <c r="I18" s="779"/>
      <c r="J18" s="762"/>
      <c r="K18" s="792"/>
    </row>
    <row r="19" spans="1:11" ht="21.75" customHeight="1" x14ac:dyDescent="0.2">
      <c r="A19" s="2226" t="s">
        <v>1809</v>
      </c>
      <c r="B19" s="2226"/>
      <c r="C19" s="2226"/>
      <c r="D19" s="2226"/>
      <c r="E19" s="2227"/>
      <c r="F19" s="786" t="s">
        <v>933</v>
      </c>
      <c r="G19" s="779"/>
      <c r="H19" s="779"/>
      <c r="I19" s="779"/>
      <c r="J19" s="762"/>
      <c r="K19" s="792"/>
    </row>
    <row r="20" spans="1:11" x14ac:dyDescent="0.2">
      <c r="A20" s="2228" t="s">
        <v>1814</v>
      </c>
      <c r="B20" s="2229"/>
      <c r="C20" s="2229"/>
      <c r="D20" s="2229"/>
      <c r="E20" s="2230"/>
      <c r="F20" s="786" t="s">
        <v>934</v>
      </c>
      <c r="G20" s="779"/>
      <c r="H20" s="779"/>
      <c r="I20" s="779"/>
      <c r="J20" s="762"/>
      <c r="K20" s="792"/>
    </row>
    <row r="21" spans="1:11" ht="13.5" thickBot="1" x14ac:dyDescent="0.25">
      <c r="A21" s="2247" t="s">
        <v>638</v>
      </c>
      <c r="B21" s="2247"/>
      <c r="C21" s="2247"/>
      <c r="D21" s="2247"/>
      <c r="E21" s="2247"/>
      <c r="F21" s="1755"/>
      <c r="G21" s="789"/>
      <c r="H21" s="793"/>
      <c r="I21" s="793"/>
      <c r="J21" s="1756">
        <f>SUM(J18:J20)</f>
        <v>0</v>
      </c>
      <c r="K21" s="790"/>
    </row>
    <row r="22" spans="1:11" ht="13.5" thickTop="1" x14ac:dyDescent="0.2">
      <c r="A22" s="2218" t="s">
        <v>1815</v>
      </c>
      <c r="B22" s="2218"/>
      <c r="C22" s="2218"/>
      <c r="D22" s="2218"/>
      <c r="E22" s="2219"/>
      <c r="F22" s="786" t="s">
        <v>862</v>
      </c>
      <c r="G22" s="779"/>
      <c r="H22" s="761"/>
      <c r="I22" s="761"/>
      <c r="J22" s="794"/>
      <c r="K22" s="762"/>
    </row>
    <row r="23" spans="1:11" ht="13.5" thickBot="1" x14ac:dyDescent="0.25">
      <c r="A23" s="2248" t="s">
        <v>906</v>
      </c>
      <c r="B23" s="2247"/>
      <c r="C23" s="2247"/>
      <c r="D23" s="2247"/>
      <c r="E23" s="2247"/>
      <c r="F23" s="1757"/>
      <c r="G23" s="1754">
        <f>SUM(G14:G16,G21,G22)</f>
        <v>0</v>
      </c>
      <c r="H23" s="1754">
        <f>SUM(H14:H16,H21,H22)</f>
        <v>105701</v>
      </c>
      <c r="I23" s="1754">
        <f>SUM(I14:I16,I21,I22)</f>
        <v>0</v>
      </c>
      <c r="J23" s="1754">
        <f>SUM(J14:J16,J21,J22)</f>
        <v>0</v>
      </c>
      <c r="K23" s="1754">
        <f>SUM(K14:K16,K21,K22)</f>
        <v>0</v>
      </c>
    </row>
    <row r="24" spans="1:11" ht="14.25" thickTop="1" thickBot="1" x14ac:dyDescent="0.25">
      <c r="A24" s="2248" t="s">
        <v>1965</v>
      </c>
      <c r="B24" s="2247"/>
      <c r="C24" s="2247"/>
      <c r="D24" s="2247"/>
      <c r="E24" s="2247"/>
      <c r="F24" s="1758"/>
      <c r="G24" s="1759">
        <f>SUM(G3,G12)-G23</f>
        <v>0</v>
      </c>
      <c r="H24" s="1759">
        <f>SUM(H3,H12)-H23</f>
        <v>0</v>
      </c>
      <c r="I24" s="1759">
        <f>SUM(I3,I12)-I23</f>
        <v>0</v>
      </c>
      <c r="J24" s="1759">
        <f>SUM(J3,J12)-J23</f>
        <v>0</v>
      </c>
      <c r="K24" s="1759">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21"/>
      <c r="I31" s="2222"/>
      <c r="J31" s="2222"/>
      <c r="K31" s="2222"/>
    </row>
    <row r="32" spans="1:11" x14ac:dyDescent="0.2">
      <c r="A32" s="806"/>
      <c r="B32" s="237"/>
      <c r="C32" s="237"/>
      <c r="D32" s="237"/>
      <c r="E32" s="802"/>
      <c r="F32" s="808" t="s">
        <v>540</v>
      </c>
      <c r="G32" s="761"/>
      <c r="H32" s="2223"/>
      <c r="I32" s="2222"/>
      <c r="J32" s="2222"/>
      <c r="K32" s="2222"/>
    </row>
    <row r="33" spans="1:11" ht="1.5" customHeight="1" x14ac:dyDescent="0.2">
      <c r="A33" s="809" t="s">
        <v>1169</v>
      </c>
      <c r="B33" s="364"/>
      <c r="C33" s="364"/>
      <c r="D33" s="364"/>
      <c r="E33" s="364"/>
      <c r="F33" s="364"/>
      <c r="G33" s="810"/>
      <c r="H33" s="2223"/>
      <c r="I33" s="2222"/>
      <c r="J33" s="2222"/>
      <c r="K33" s="2222"/>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8" t="s">
        <v>541</v>
      </c>
      <c r="B41" s="2231"/>
      <c r="C41" s="2231"/>
      <c r="D41" s="2231"/>
      <c r="E41" s="2231"/>
      <c r="F41" s="2232"/>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3"/>
      <c r="E1" s="824"/>
      <c r="F1" s="824"/>
      <c r="G1" s="825"/>
      <c r="H1" s="826"/>
      <c r="I1" s="827"/>
      <c r="J1" s="2251"/>
      <c r="K1" s="2252"/>
      <c r="L1" s="2252"/>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v>0</v>
      </c>
      <c r="E3" s="832">
        <v>0</v>
      </c>
      <c r="F3" s="1756">
        <f>(C3+D3)-E3</f>
        <v>0</v>
      </c>
      <c r="G3" s="833"/>
      <c r="H3" s="832">
        <v>0</v>
      </c>
      <c r="I3" s="832">
        <v>0</v>
      </c>
      <c r="J3" s="832">
        <v>0</v>
      </c>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3524653</v>
      </c>
      <c r="D5" s="838">
        <v>0</v>
      </c>
      <c r="E5" s="838">
        <v>26551</v>
      </c>
      <c r="F5" s="1756">
        <f>(C5+D5)-E5</f>
        <v>3498102</v>
      </c>
      <c r="G5" s="834"/>
      <c r="H5" s="839"/>
      <c r="I5" s="839"/>
      <c r="J5" s="839"/>
      <c r="K5" s="790"/>
      <c r="L5" s="1765">
        <f>F5-K5</f>
        <v>3498102</v>
      </c>
    </row>
    <row r="6" spans="1:14" ht="14.25" thickTop="1" thickBot="1" x14ac:dyDescent="0.25">
      <c r="A6" s="775" t="s">
        <v>1117</v>
      </c>
      <c r="B6" s="837">
        <v>222</v>
      </c>
      <c r="C6" s="762">
        <v>0</v>
      </c>
      <c r="D6" s="762">
        <v>0</v>
      </c>
      <c r="E6" s="762">
        <v>0</v>
      </c>
      <c r="F6" s="1756">
        <f>(C6+D6)-E6</f>
        <v>0</v>
      </c>
      <c r="G6" s="834">
        <v>50</v>
      </c>
      <c r="H6" s="762">
        <v>0</v>
      </c>
      <c r="I6" s="762">
        <v>0</v>
      </c>
      <c r="J6" s="762">
        <v>0</v>
      </c>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31917005</v>
      </c>
      <c r="D8" s="841">
        <v>58038</v>
      </c>
      <c r="E8" s="841">
        <v>0</v>
      </c>
      <c r="F8" s="1756">
        <f>(C8+D8)-E8</f>
        <v>31975043</v>
      </c>
      <c r="G8" s="840">
        <v>50</v>
      </c>
      <c r="H8" s="762">
        <v>10318984</v>
      </c>
      <c r="I8" s="762">
        <v>631618</v>
      </c>
      <c r="J8" s="762">
        <v>0</v>
      </c>
      <c r="K8" s="1765">
        <f>(H8+I8)-J8</f>
        <v>10950602</v>
      </c>
      <c r="L8" s="1765">
        <f>F8-K8</f>
        <v>21024441</v>
      </c>
    </row>
    <row r="9" spans="1:14" ht="14.25" thickTop="1" thickBot="1" x14ac:dyDescent="0.25">
      <c r="A9" s="775" t="s">
        <v>1119</v>
      </c>
      <c r="B9" s="837">
        <v>232</v>
      </c>
      <c r="C9" s="762">
        <v>0</v>
      </c>
      <c r="D9" s="762">
        <v>0</v>
      </c>
      <c r="E9" s="762">
        <v>0</v>
      </c>
      <c r="F9" s="1756">
        <f>(C9+D9)-E9</f>
        <v>0</v>
      </c>
      <c r="G9" s="840">
        <v>20</v>
      </c>
      <c r="H9" s="762">
        <v>0</v>
      </c>
      <c r="I9" s="762">
        <v>0</v>
      </c>
      <c r="J9" s="762">
        <v>0</v>
      </c>
      <c r="K9" s="1765">
        <f>(H9+I9)-J9</f>
        <v>0</v>
      </c>
      <c r="L9" s="1765">
        <f>F9-K9</f>
        <v>0</v>
      </c>
    </row>
    <row r="10" spans="1:14" ht="24" thickTop="1" thickBot="1" x14ac:dyDescent="0.25">
      <c r="A10" s="842" t="s">
        <v>1120</v>
      </c>
      <c r="B10" s="837">
        <v>240</v>
      </c>
      <c r="C10" s="843">
        <v>2203625</v>
      </c>
      <c r="D10" s="843">
        <v>19471</v>
      </c>
      <c r="E10" s="843">
        <v>0</v>
      </c>
      <c r="F10" s="1760">
        <f>(C10+D10)-E10</f>
        <v>2223096</v>
      </c>
      <c r="G10" s="840">
        <v>20</v>
      </c>
      <c r="H10" s="844">
        <v>1253721</v>
      </c>
      <c r="I10" s="844">
        <v>75710</v>
      </c>
      <c r="J10" s="844">
        <v>0</v>
      </c>
      <c r="K10" s="1765">
        <f>(H10+I10)-J10</f>
        <v>1329431</v>
      </c>
      <c r="L10" s="1765">
        <f>F10-K10</f>
        <v>893665</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2293426</v>
      </c>
      <c r="D12" s="841">
        <v>324689</v>
      </c>
      <c r="E12" s="841">
        <v>91620</v>
      </c>
      <c r="F12" s="1756">
        <f>(C12+D12)-E12</f>
        <v>2526495</v>
      </c>
      <c r="G12" s="840">
        <v>10</v>
      </c>
      <c r="H12" s="762">
        <v>1201918</v>
      </c>
      <c r="I12" s="762">
        <v>252650</v>
      </c>
      <c r="J12" s="762">
        <v>91620</v>
      </c>
      <c r="K12" s="1765">
        <f>(H12+I12)-J12</f>
        <v>1362948</v>
      </c>
      <c r="L12" s="1765">
        <f>F12-K12</f>
        <v>1163547</v>
      </c>
    </row>
    <row r="13" spans="1:14" ht="14.25" thickTop="1" thickBot="1" x14ac:dyDescent="0.25">
      <c r="A13" s="845" t="s">
        <v>1122</v>
      </c>
      <c r="B13" s="837">
        <v>252</v>
      </c>
      <c r="C13" s="841">
        <v>200803</v>
      </c>
      <c r="D13" s="841">
        <v>0</v>
      </c>
      <c r="E13" s="841">
        <v>0</v>
      </c>
      <c r="F13" s="1756">
        <f>(C13+D13)-E13</f>
        <v>200803</v>
      </c>
      <c r="G13" s="840">
        <v>5</v>
      </c>
      <c r="H13" s="762">
        <v>107448</v>
      </c>
      <c r="I13" s="762">
        <v>28380</v>
      </c>
      <c r="J13" s="762">
        <v>0</v>
      </c>
      <c r="K13" s="1765">
        <f>(H13+I13)-J13</f>
        <v>135828</v>
      </c>
      <c r="L13" s="1765">
        <f>F13-K13</f>
        <v>64975</v>
      </c>
    </row>
    <row r="14" spans="1:14" ht="14.25" thickTop="1" thickBot="1" x14ac:dyDescent="0.25">
      <c r="A14" s="845" t="s">
        <v>1123</v>
      </c>
      <c r="B14" s="837">
        <v>253</v>
      </c>
      <c r="C14" s="762">
        <v>0</v>
      </c>
      <c r="D14" s="762">
        <v>76293</v>
      </c>
      <c r="E14" s="762">
        <v>0</v>
      </c>
      <c r="F14" s="1756">
        <f>(C14+D14)-E14</f>
        <v>76293</v>
      </c>
      <c r="G14" s="840">
        <v>3</v>
      </c>
      <c r="H14" s="762">
        <v>0</v>
      </c>
      <c r="I14" s="762">
        <v>25431</v>
      </c>
      <c r="J14" s="762">
        <v>0</v>
      </c>
      <c r="K14" s="1765">
        <f>(H14+I14)-J14</f>
        <v>25431</v>
      </c>
      <c r="L14" s="1765">
        <f>F14-K14</f>
        <v>50862</v>
      </c>
    </row>
    <row r="15" spans="1:14" ht="15" customHeight="1" thickTop="1" thickBot="1" x14ac:dyDescent="0.25">
      <c r="A15" s="1627" t="s">
        <v>528</v>
      </c>
      <c r="B15" s="1626">
        <v>260</v>
      </c>
      <c r="C15" s="841">
        <v>0</v>
      </c>
      <c r="D15" s="841">
        <v>43241</v>
      </c>
      <c r="E15" s="841">
        <v>0</v>
      </c>
      <c r="F15" s="1756">
        <f>(C15+D15)-E15</f>
        <v>43241</v>
      </c>
      <c r="G15" s="846" t="s">
        <v>862</v>
      </c>
      <c r="H15" s="778"/>
      <c r="I15" s="778"/>
      <c r="J15" s="778"/>
      <c r="K15" s="778"/>
      <c r="L15" s="1765">
        <f>F15-K15</f>
        <v>43241</v>
      </c>
    </row>
    <row r="16" spans="1:14" ht="15" customHeight="1" thickTop="1" thickBot="1" x14ac:dyDescent="0.25">
      <c r="A16" s="1761" t="s">
        <v>643</v>
      </c>
      <c r="B16" s="1762">
        <v>200</v>
      </c>
      <c r="C16" s="1756">
        <f>SUM(C3,C5:C6,C8:C10,C12:C15)</f>
        <v>40139512</v>
      </c>
      <c r="D16" s="1756">
        <f>SUM(D3,D5:D6,D8:D10,D12:D15)</f>
        <v>521732</v>
      </c>
      <c r="E16" s="1756">
        <f>SUM(E3,E5:E6,E8:E10,E12:E15)</f>
        <v>118171</v>
      </c>
      <c r="F16" s="1756">
        <f>SUM(F3,F5:F6,F8:F10,F12:F15)</f>
        <v>40543073</v>
      </c>
      <c r="G16" s="840"/>
      <c r="H16" s="1756">
        <f>SUM(H3,H6,H8:H10,H12:H14,)</f>
        <v>12882071</v>
      </c>
      <c r="I16" s="1756">
        <f>SUM(I3,I6,I8:I10,I12:I14,)</f>
        <v>1013789</v>
      </c>
      <c r="J16" s="1756">
        <f>SUM(J3,J6,J8:J10,J12:J14,)</f>
        <v>91620</v>
      </c>
      <c r="K16" s="1756">
        <f>(H16+I16)-J16</f>
        <v>13804240</v>
      </c>
      <c r="L16" s="1756">
        <f>F16-K16</f>
        <v>26738833</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1013789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18" sqref="A18"/>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9" t="s">
        <v>1975</v>
      </c>
      <c r="B1" s="2260"/>
      <c r="C1" s="2260"/>
      <c r="D1" s="2260"/>
      <c r="E1" s="2260"/>
      <c r="F1" s="2261"/>
      <c r="G1" s="852"/>
    </row>
    <row r="2" spans="1:7" ht="15" customHeight="1" thickBot="1" x14ac:dyDescent="0.25">
      <c r="A2" s="2262" t="s">
        <v>477</v>
      </c>
      <c r="B2" s="2263"/>
      <c r="C2" s="2263"/>
      <c r="D2" s="2263"/>
      <c r="E2" s="2263"/>
      <c r="F2" s="2264"/>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6580664</v>
      </c>
      <c r="G8" s="862"/>
    </row>
    <row r="9" spans="1:7" x14ac:dyDescent="0.2">
      <c r="A9" s="866" t="s">
        <v>460</v>
      </c>
      <c r="B9" s="867" t="s">
        <v>1877</v>
      </c>
      <c r="C9" s="868"/>
      <c r="D9" s="866" t="s">
        <v>501</v>
      </c>
      <c r="E9" s="865"/>
      <c r="F9" s="1905">
        <f>'Expenditures 15-22'!K151</f>
        <v>1007026</v>
      </c>
      <c r="G9" s="869"/>
    </row>
    <row r="10" spans="1:7" x14ac:dyDescent="0.2">
      <c r="A10" s="866" t="s">
        <v>499</v>
      </c>
      <c r="B10" s="867" t="s">
        <v>1878</v>
      </c>
      <c r="C10" s="868"/>
      <c r="D10" s="866" t="s">
        <v>501</v>
      </c>
      <c r="E10" s="865"/>
      <c r="F10" s="1905">
        <f>'Expenditures 15-22'!K174</f>
        <v>0</v>
      </c>
      <c r="G10" s="869"/>
    </row>
    <row r="11" spans="1:7" x14ac:dyDescent="0.2">
      <c r="A11" s="866" t="s">
        <v>461</v>
      </c>
      <c r="B11" s="867" t="s">
        <v>1879</v>
      </c>
      <c r="C11" s="868"/>
      <c r="D11" s="866" t="s">
        <v>501</v>
      </c>
      <c r="E11" s="865"/>
      <c r="F11" s="1905">
        <f>'Expenditures 15-22'!K210</f>
        <v>310983</v>
      </c>
      <c r="G11" s="869"/>
    </row>
    <row r="12" spans="1:7" x14ac:dyDescent="0.2">
      <c r="A12" s="866" t="s">
        <v>462</v>
      </c>
      <c r="B12" s="867" t="s">
        <v>1880</v>
      </c>
      <c r="C12" s="868"/>
      <c r="D12" s="866" t="s">
        <v>501</v>
      </c>
      <c r="E12" s="865"/>
      <c r="F12" s="1905">
        <f>'Expenditures 15-22'!K295</f>
        <v>255666</v>
      </c>
      <c r="G12" s="869"/>
    </row>
    <row r="13" spans="1:7" x14ac:dyDescent="0.2">
      <c r="A13" s="866" t="s">
        <v>106</v>
      </c>
      <c r="B13" s="867" t="s">
        <v>1881</v>
      </c>
      <c r="C13" s="868"/>
      <c r="D13" s="866" t="s">
        <v>501</v>
      </c>
      <c r="E13" s="865"/>
      <c r="F13" s="1905">
        <f>'Expenditures 15-22'!K342</f>
        <v>101005</v>
      </c>
      <c r="G13" s="870"/>
    </row>
    <row r="14" spans="1:7" ht="12" customHeight="1" thickBot="1" x14ac:dyDescent="0.25">
      <c r="A14" s="1766"/>
      <c r="B14" s="1767"/>
      <c r="C14" s="1768"/>
      <c r="D14" s="1769" t="s">
        <v>501</v>
      </c>
      <c r="E14" s="1770" t="s">
        <v>958</v>
      </c>
      <c r="F14" s="1771">
        <f>SUM(F8:F13)</f>
        <v>8255344</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112940</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127181</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13599</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33868</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1540</v>
      </c>
      <c r="G52" s="862"/>
    </row>
    <row r="53" spans="1:7" x14ac:dyDescent="0.2">
      <c r="A53" s="866" t="s">
        <v>459</v>
      </c>
      <c r="B53" s="866" t="s">
        <v>1475</v>
      </c>
      <c r="C53" s="886">
        <f>'Expenditures 15-22'!B102</f>
        <v>4000</v>
      </c>
      <c r="D53" s="885" t="str">
        <f>'Expenditures 15-22'!A102</f>
        <v>Total Payments to Other Govt Units</v>
      </c>
      <c r="E53" s="865"/>
      <c r="F53" s="1909">
        <f>'Expenditures 15-22'!K102</f>
        <v>86290</v>
      </c>
      <c r="G53" s="862"/>
    </row>
    <row r="54" spans="1:7" x14ac:dyDescent="0.2">
      <c r="A54" s="866" t="s">
        <v>459</v>
      </c>
      <c r="B54" s="866" t="s">
        <v>1476</v>
      </c>
      <c r="C54" s="886" t="s">
        <v>982</v>
      </c>
      <c r="D54" s="882" t="s">
        <v>1095</v>
      </c>
      <c r="E54" s="865"/>
      <c r="F54" s="1909">
        <f>'Expenditures 15-22'!G114</f>
        <v>168364</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128907</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0</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76293</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4021</v>
      </c>
      <c r="G67" s="862"/>
    </row>
    <row r="68" spans="1:8" x14ac:dyDescent="0.2">
      <c r="A68" s="866" t="s">
        <v>462</v>
      </c>
      <c r="B68" s="866" t="s">
        <v>1479</v>
      </c>
      <c r="C68" s="883" t="str">
        <f>'Expenditures 15-22'!B218</f>
        <v>1225</v>
      </c>
      <c r="D68" s="889" t="str">
        <f>'Expenditures 15-22'!A218</f>
        <v>Special Education Programs - Pre-K</v>
      </c>
      <c r="E68" s="865"/>
      <c r="F68" s="1909">
        <f>'Expenditures 15-22'!K218</f>
        <v>5438</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242</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0</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758683</v>
      </c>
      <c r="G76" s="862"/>
    </row>
    <row r="77" spans="1:8" s="890" customFormat="1" ht="12" customHeight="1" thickTop="1" thickBot="1" x14ac:dyDescent="0.25">
      <c r="A77" s="1775"/>
      <c r="B77" s="1772"/>
      <c r="C77" s="1768"/>
      <c r="D77" s="1773" t="s">
        <v>1900</v>
      </c>
      <c r="E77" s="1770"/>
      <c r="F77" s="1776">
        <f>(F14-F76)</f>
        <v>7496661</v>
      </c>
      <c r="G77" s="866"/>
    </row>
    <row r="78" spans="1:8" s="890" customFormat="1" ht="12" customHeight="1" thickTop="1" x14ac:dyDescent="0.2">
      <c r="A78" s="1777"/>
      <c r="B78" s="1772"/>
      <c r="C78" s="1768"/>
      <c r="D78" s="1773" t="s">
        <v>2062</v>
      </c>
      <c r="E78" s="1770"/>
      <c r="F78" s="895">
        <v>398.3</v>
      </c>
      <c r="G78" s="896"/>
      <c r="H78" s="866"/>
    </row>
    <row r="79" spans="1:8" s="890" customFormat="1" ht="12" customHeight="1" thickBot="1" x14ac:dyDescent="0.25">
      <c r="A79" s="1778"/>
      <c r="B79" s="1772"/>
      <c r="C79" s="1768"/>
      <c r="D79" s="1773" t="s">
        <v>1901</v>
      </c>
      <c r="E79" s="1770" t="s">
        <v>958</v>
      </c>
      <c r="F79" s="1779">
        <f>IF(F78&gt;0,F77/F78," Complete Line 78")</f>
        <v>18821.644489078582</v>
      </c>
      <c r="G79" s="866"/>
    </row>
    <row r="80" spans="1:8" s="890" customFormat="1" ht="8.25" customHeight="1" thickTop="1" x14ac:dyDescent="0.2">
      <c r="A80" s="897"/>
      <c r="B80" s="866"/>
      <c r="C80" s="868"/>
      <c r="D80" s="898"/>
      <c r="E80" s="865"/>
      <c r="F80" s="899"/>
      <c r="G80" s="866"/>
    </row>
    <row r="81" spans="1:7" s="890" customFormat="1" ht="12" thickBot="1" x14ac:dyDescent="0.25">
      <c r="A81" s="2256" t="s">
        <v>1105</v>
      </c>
      <c r="B81" s="2257"/>
      <c r="C81" s="2257"/>
      <c r="D81" s="2257"/>
      <c r="E81" s="2257"/>
      <c r="F81" s="2258"/>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102741</v>
      </c>
      <c r="G94" s="909"/>
    </row>
    <row r="95" spans="1:7" x14ac:dyDescent="0.2">
      <c r="A95" s="905" t="s">
        <v>140</v>
      </c>
      <c r="B95" s="905" t="s">
        <v>175</v>
      </c>
      <c r="C95" s="907">
        <v>1700</v>
      </c>
      <c r="D95" s="915" t="str">
        <f>'Revenues 9-14'!A82</f>
        <v>Total District/School Activity Income</v>
      </c>
      <c r="E95" s="903"/>
      <c r="F95" s="1785">
        <f>SUM('Revenues 9-14'!C82,'Revenues 9-14'!D82)</f>
        <v>34832</v>
      </c>
      <c r="G95" s="909"/>
    </row>
    <row r="96" spans="1:7" x14ac:dyDescent="0.2">
      <c r="A96" s="905" t="s">
        <v>459</v>
      </c>
      <c r="B96" s="905" t="s">
        <v>176</v>
      </c>
      <c r="C96" s="907">
        <f>'Revenues 9-14'!B84</f>
        <v>1811</v>
      </c>
      <c r="D96" s="908" t="str">
        <f>'Revenues 9-14'!A84</f>
        <v>Rentals - Regular Textbooks</v>
      </c>
      <c r="E96" s="903"/>
      <c r="F96" s="1785">
        <f>'Revenues 9-14'!C84</f>
        <v>100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50</v>
      </c>
      <c r="G100" s="909"/>
    </row>
    <row r="101" spans="1:7" x14ac:dyDescent="0.2">
      <c r="A101" s="905" t="s">
        <v>140</v>
      </c>
      <c r="B101" s="905" t="s">
        <v>181</v>
      </c>
      <c r="C101" s="907">
        <f>'Revenues 9-14'!B95</f>
        <v>1910</v>
      </c>
      <c r="D101" s="908" t="str">
        <f>'Revenues 9-14'!A95</f>
        <v>Rentals</v>
      </c>
      <c r="E101" s="903"/>
      <c r="F101" s="1785">
        <f>SUM('Revenues 9-14'!C95:D95)</f>
        <v>47911</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300</v>
      </c>
      <c r="G103" s="909"/>
    </row>
    <row r="104" spans="1:7" x14ac:dyDescent="0.2">
      <c r="A104" s="905" t="s">
        <v>459</v>
      </c>
      <c r="B104" s="905" t="s">
        <v>808</v>
      </c>
      <c r="C104" s="907">
        <f>'Revenues 9-14'!B106</f>
        <v>1993</v>
      </c>
      <c r="D104" s="908" t="str">
        <f>'Revenues 9-14'!A106</f>
        <v>Other Local Fees (Describe &amp; Itemize)</v>
      </c>
      <c r="E104" s="903"/>
      <c r="F104" s="1785">
        <f>('Revenues 9-14'!C106)</f>
        <v>0</v>
      </c>
      <c r="G104" s="909"/>
    </row>
    <row r="105" spans="1:7" x14ac:dyDescent="0.2">
      <c r="A105" s="905" t="s">
        <v>503</v>
      </c>
      <c r="B105" s="905" t="s">
        <v>2003</v>
      </c>
      <c r="C105" s="910">
        <v>3100</v>
      </c>
      <c r="D105" s="916" t="str">
        <f>'Revenues 9-14'!A132</f>
        <v>Total Special Education</v>
      </c>
      <c r="E105" s="903"/>
      <c r="F105" s="1785">
        <f>SUM('Revenues 9-14'!C132:D132,'Revenues 9-14'!F132)</f>
        <v>6165</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0</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1838</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0</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55946</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750</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36874</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113594</v>
      </c>
      <c r="G125" s="927"/>
    </row>
    <row r="126" spans="1:7" x14ac:dyDescent="0.2">
      <c r="A126" s="924" t="s">
        <v>668</v>
      </c>
      <c r="B126" s="924" t="s">
        <v>2024</v>
      </c>
      <c r="C126" s="929">
        <v>4300</v>
      </c>
      <c r="D126" s="930" t="str">
        <f>'Revenues 9-14'!A204</f>
        <v>Total Title I</v>
      </c>
      <c r="E126" s="903"/>
      <c r="F126" s="1785">
        <f>SUM('Revenues 9-14'!C204,'Revenues 9-14'!D204,'Revenues 9-14'!F204,'Revenues 9-14'!G204)</f>
        <v>91409</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85495</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1488</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22194</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7582</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222004.28</v>
      </c>
      <c r="G171" s="924"/>
    </row>
    <row r="172" spans="1:7" x14ac:dyDescent="0.2">
      <c r="A172" s="1914" t="s">
        <v>664</v>
      </c>
      <c r="B172" s="1915" t="s">
        <v>1920</v>
      </c>
      <c r="C172" s="1916">
        <v>3300</v>
      </c>
      <c r="D172" s="1917" t="s">
        <v>1923</v>
      </c>
      <c r="E172" s="903"/>
      <c r="F172" s="1902">
        <v>0</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831273.28</v>
      </c>
    </row>
    <row r="175" spans="1:7" ht="12" customHeight="1" x14ac:dyDescent="0.2">
      <c r="A175" s="1766"/>
      <c r="B175" s="1780"/>
      <c r="C175" s="1781"/>
      <c r="D175" s="1782" t="s">
        <v>2057</v>
      </c>
      <c r="E175" s="1783"/>
      <c r="F175" s="1785">
        <f>'PCTC-OEPP 27-28'!F77-F174</f>
        <v>6665387.7199999997</v>
      </c>
    </row>
    <row r="176" spans="1:7" ht="12" customHeight="1" x14ac:dyDescent="0.2">
      <c r="A176" s="1766"/>
      <c r="B176" s="1780"/>
      <c r="C176" s="1781"/>
      <c r="D176" s="1782" t="s">
        <v>1817</v>
      </c>
      <c r="E176" s="1783"/>
      <c r="F176" s="1785">
        <f>'Cap Outlay Deprec 26'!I18</f>
        <v>1013789</v>
      </c>
    </row>
    <row r="177" spans="1:7" ht="12" customHeight="1" x14ac:dyDescent="0.2">
      <c r="A177" s="1766"/>
      <c r="B177" s="1780"/>
      <c r="C177" s="1781"/>
      <c r="D177" s="1782" t="s">
        <v>2058</v>
      </c>
      <c r="E177" s="1783"/>
      <c r="F177" s="1785">
        <f>F175+F176</f>
        <v>7679176.7199999997</v>
      </c>
    </row>
    <row r="178" spans="1:7" ht="12" customHeight="1" x14ac:dyDescent="0.2">
      <c r="A178" s="1766"/>
      <c r="B178" s="1786"/>
      <c r="C178" s="1781"/>
      <c r="D178" s="1782" t="str">
        <f>D78</f>
        <v>9 Month ADA from District Average Daily Attendance/Prior General State Aid Inquiry 2018-2019</v>
      </c>
      <c r="E178" s="1783"/>
      <c r="F178" s="1787">
        <f>'PCTC-OEPP 27-28'!F78</f>
        <v>398.3</v>
      </c>
      <c r="G178" s="927"/>
    </row>
    <row r="179" spans="1:7" ht="12" customHeight="1" thickBot="1" x14ac:dyDescent="0.25">
      <c r="A179" s="1766"/>
      <c r="B179" s="1786"/>
      <c r="C179" s="1781"/>
      <c r="D179" s="1782" t="s">
        <v>2059</v>
      </c>
      <c r="E179" s="1783" t="s">
        <v>1545</v>
      </c>
      <c r="F179" s="1788">
        <f>F177/F178</f>
        <v>19279.8812955059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8" sqref="A18"/>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0" t="s">
        <v>1819</v>
      </c>
      <c r="B6" s="1531"/>
      <c r="C6" s="1531"/>
      <c r="D6" s="1531"/>
      <c r="E6" s="1531"/>
      <c r="F6" s="1531"/>
      <c r="G6" s="1532"/>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3" t="s">
        <v>1820</v>
      </c>
      <c r="B10" s="1534"/>
      <c r="C10" s="1534"/>
      <c r="D10" s="1534"/>
      <c r="E10" s="1534"/>
      <c r="F10" s="1534"/>
      <c r="G10" s="1535"/>
    </row>
    <row r="11" spans="1:7" ht="17.25" customHeight="1" x14ac:dyDescent="0.25">
      <c r="A11" s="2276" t="s">
        <v>1934</v>
      </c>
      <c r="B11" s="2277"/>
      <c r="C11" s="2277"/>
      <c r="D11" s="2277"/>
      <c r="E11" s="2277"/>
      <c r="F11" s="2277"/>
      <c r="G11" s="2278"/>
    </row>
    <row r="12" spans="1:7" ht="15" customHeight="1" x14ac:dyDescent="0.25">
      <c r="A12" s="1533" t="s">
        <v>1825</v>
      </c>
      <c r="B12" s="1534"/>
      <c r="C12" s="1534"/>
      <c r="D12" s="1534"/>
      <c r="E12" s="1534"/>
      <c r="F12" s="1534"/>
      <c r="G12" s="1535"/>
    </row>
    <row r="13" spans="1:7" ht="32.25" customHeight="1" x14ac:dyDescent="0.25">
      <c r="A13" s="2267" t="s">
        <v>1976</v>
      </c>
      <c r="B13" s="2268"/>
      <c r="C13" s="2268"/>
      <c r="D13" s="2268"/>
      <c r="E13" s="2268"/>
      <c r="F13" s="2268"/>
      <c r="G13" s="2269"/>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33" t="s">
        <v>2090</v>
      </c>
      <c r="B17" s="1934" t="s">
        <v>2089</v>
      </c>
      <c r="C17" s="1935" t="s">
        <v>2091</v>
      </c>
      <c r="D17" s="1840">
        <v>57298</v>
      </c>
      <c r="E17" s="1536">
        <f t="shared" ref="E17:E141" si="0">IF(D17&lt;=25000,D17,IF(D17&gt;25000,25000,0))</f>
        <v>25000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9">
        <f>IF(F17=0,0,D17-F17)</f>
        <v>32298</v>
      </c>
      <c r="H17" s="1643"/>
    </row>
    <row r="18" spans="1:8" x14ac:dyDescent="0.25">
      <c r="A18" s="1933" t="s">
        <v>2093</v>
      </c>
      <c r="B18" s="1934" t="s">
        <v>2092</v>
      </c>
      <c r="C18" s="1935" t="s">
        <v>2094</v>
      </c>
      <c r="D18" s="1840">
        <v>91410</v>
      </c>
      <c r="E18" s="1536">
        <f t="shared" ref="E18:E140" si="2">IF(D18&lt;=25000,D18,IF(D18&gt;25000,25000,0))</f>
        <v>25000</v>
      </c>
      <c r="F18" s="1928">
        <f t="shared" si="1"/>
        <v>25000</v>
      </c>
      <c r="G18" s="1789">
        <f t="shared" ref="G18:G140" si="3">IF(F18=0,0,D18-F18)</f>
        <v>66410</v>
      </c>
    </row>
    <row r="19" spans="1:8" x14ac:dyDescent="0.25">
      <c r="A19" s="1933" t="s">
        <v>2093</v>
      </c>
      <c r="B19" s="1934" t="s">
        <v>2092</v>
      </c>
      <c r="C19" s="1935" t="s">
        <v>2095</v>
      </c>
      <c r="D19" s="1840">
        <v>28385</v>
      </c>
      <c r="E19" s="1536">
        <f t="shared" si="2"/>
        <v>25000</v>
      </c>
      <c r="F19" s="1928">
        <f t="shared" si="1"/>
        <v>25000</v>
      </c>
      <c r="G19" s="1789">
        <f t="shared" si="3"/>
        <v>3385</v>
      </c>
    </row>
    <row r="20" spans="1:8" x14ac:dyDescent="0.25">
      <c r="A20" s="1938" t="s">
        <v>2113</v>
      </c>
      <c r="B20" s="1936" t="s">
        <v>2107</v>
      </c>
      <c r="C20" s="1937" t="s">
        <v>2108</v>
      </c>
      <c r="D20" s="1840">
        <v>106251</v>
      </c>
      <c r="E20" s="1536">
        <f t="shared" si="2"/>
        <v>25000</v>
      </c>
      <c r="F20" s="1928">
        <f t="shared" si="1"/>
        <v>25000</v>
      </c>
      <c r="G20" s="1789">
        <f t="shared" si="3"/>
        <v>81251</v>
      </c>
    </row>
    <row r="21" spans="1:8" x14ac:dyDescent="0.25">
      <c r="A21" s="1938" t="s">
        <v>2114</v>
      </c>
      <c r="B21" s="1939" t="s">
        <v>1824</v>
      </c>
      <c r="C21" s="1940" t="s">
        <v>2109</v>
      </c>
      <c r="D21" s="1840">
        <v>35386</v>
      </c>
      <c r="E21" s="1536">
        <f t="shared" si="2"/>
        <v>25000</v>
      </c>
      <c r="F21" s="1928">
        <f t="shared" si="1"/>
        <v>25000</v>
      </c>
      <c r="G21" s="1789">
        <f t="shared" si="3"/>
        <v>10386</v>
      </c>
    </row>
    <row r="22" spans="1:8" x14ac:dyDescent="0.25">
      <c r="A22" s="1938" t="s">
        <v>2116</v>
      </c>
      <c r="B22" s="1939" t="s">
        <v>2115</v>
      </c>
      <c r="C22" s="1940" t="s">
        <v>2110</v>
      </c>
      <c r="D22" s="1840">
        <v>53252</v>
      </c>
      <c r="E22" s="1536">
        <f t="shared" si="2"/>
        <v>25000</v>
      </c>
      <c r="F22" s="1928">
        <f t="shared" si="1"/>
        <v>25000</v>
      </c>
      <c r="G22" s="1789">
        <f t="shared" si="3"/>
        <v>28252</v>
      </c>
    </row>
    <row r="23" spans="1:8" x14ac:dyDescent="0.25">
      <c r="A23" s="1938" t="s">
        <v>2117</v>
      </c>
      <c r="B23" s="1939" t="s">
        <v>2112</v>
      </c>
      <c r="C23" s="1940" t="s">
        <v>2111</v>
      </c>
      <c r="D23" s="1840">
        <v>57117</v>
      </c>
      <c r="E23" s="1536">
        <f t="shared" si="2"/>
        <v>25000</v>
      </c>
      <c r="F23" s="1928">
        <f t="shared" si="1"/>
        <v>25000</v>
      </c>
      <c r="G23" s="1789">
        <f t="shared" si="3"/>
        <v>32117</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429099</v>
      </c>
      <c r="E141" s="1537">
        <f t="shared" si="0"/>
        <v>25000</v>
      </c>
      <c r="F141" s="1929">
        <f>SUM(F17:F140)</f>
        <v>175000</v>
      </c>
      <c r="G141" s="1791">
        <f>SUM(G17:G140)</f>
        <v>254099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82" t="s">
        <v>1679</v>
      </c>
      <c r="B5" s="2283"/>
      <c r="C5" s="2283"/>
      <c r="D5" s="2283"/>
      <c r="E5" s="2283"/>
      <c r="F5" s="2283"/>
      <c r="G5" s="2284"/>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79491.820000000007</v>
      </c>
      <c r="F10" s="971"/>
      <c r="G10" s="972"/>
      <c r="H10" s="162"/>
      <c r="I10" s="162"/>
    </row>
    <row r="11" spans="1:9" s="665" customFormat="1" ht="22.5" customHeight="1" x14ac:dyDescent="0.2">
      <c r="A11" s="2287" t="s">
        <v>1977</v>
      </c>
      <c r="B11" s="2288"/>
      <c r="C11" s="2288"/>
      <c r="D11" s="2289"/>
      <c r="E11" s="974">
        <v>18390.66</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4803145</v>
      </c>
      <c r="F19" s="1795"/>
      <c r="G19" s="1797">
        <f>'Expenditures 15-22'!K33-SUM('Expenditures 15-22'!G33,'Expenditures 15-22'!I33)+'Expenditures 15-22'!D229</f>
        <v>4803145</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568943</v>
      </c>
      <c r="F21" s="1798"/>
      <c r="G21" s="1801">
        <f>'Expenditures 15-22'!K42-SUM('Expenditures 15-22'!G42,'Expenditures 15-22'!I42)+'Expenditures 15-22'!K120-SUM('Expenditures 15-22'!G120,'Expenditures 15-22'!I120)+'Expenditures 15-22'!K180-SUM('Expenditures 15-22'!G180,'Expenditures 15-22'!I180)+'Expenditures 15-22'!D238</f>
        <v>568943</v>
      </c>
      <c r="H21" s="984"/>
      <c r="I21" s="162"/>
    </row>
    <row r="22" spans="1:9" s="665" customFormat="1" ht="12" customHeight="1" x14ac:dyDescent="0.2">
      <c r="A22" s="991" t="s">
        <v>564</v>
      </c>
      <c r="B22" s="992"/>
      <c r="C22" s="990">
        <v>2200</v>
      </c>
      <c r="D22" s="1798"/>
      <c r="E22" s="1800">
        <f>'Expenditures 15-22'!K47-SUM('Expenditures 15-22'!G47,'Expenditures 15-22'!I47)+'Expenditures 15-22'!D243</f>
        <v>130016</v>
      </c>
      <c r="F22" s="1798"/>
      <c r="G22" s="1801">
        <f>'Expenditures 15-22'!K47-SUM('Expenditures 15-22'!G47,'Expenditures 15-22'!I47)+'Expenditures 15-22'!D243</f>
        <v>130016</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520273</v>
      </c>
      <c r="F23" s="1798"/>
      <c r="G23" s="1800">
        <f>'Expenditures 15-22'!K53-SUM('Expenditures 15-22'!G53,'Expenditures 15-22'!I53)+'Expenditures 15-22'!D257+'Expenditures 15-22'!K330-SUM('Expenditures 15-22'!G330,'Expenditures 15-22'!I330)</f>
        <v>520273</v>
      </c>
      <c r="H23" s="984"/>
      <c r="I23" s="162"/>
    </row>
    <row r="24" spans="1:9" s="665" customFormat="1" ht="12" customHeight="1" x14ac:dyDescent="0.2">
      <c r="A24" s="991" t="s">
        <v>566</v>
      </c>
      <c r="B24" s="992"/>
      <c r="C24" s="990">
        <v>2400</v>
      </c>
      <c r="D24" s="1798"/>
      <c r="E24" s="1800">
        <f>'Expenditures 15-22'!K57-SUM('Expenditures 15-22'!G57,'Expenditures 15-22'!I57)+'Expenditures 15-22'!D261</f>
        <v>352468</v>
      </c>
      <c r="F24" s="1798"/>
      <c r="G24" s="1801">
        <f>'Expenditures 15-22'!K57-SUM('Expenditures 15-22'!G57,'Expenditures 15-22'!I57)+'Expenditures 15-22'!D261</f>
        <v>352468</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100359</v>
      </c>
      <c r="E27" s="1800">
        <f>E8</f>
        <v>0</v>
      </c>
      <c r="F27" s="1800">
        <f>'Expenditures 15-22'!K60-SUM('Expenditures 15-22'!G60,'Expenditures 15-22'!I60)+'Expenditures 15-22'!D264-E8</f>
        <v>100359</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816298</v>
      </c>
      <c r="F28" s="1802">
        <f>'Expenditures 15-22'!K61-SUM('Expenditures 15-22'!G61,'Expenditures 15-22'!I61)+'Expenditures 15-22'!K124-SUM('Expenditures 15-22'!G124,'Expenditures 15-22'!I124)+'Expenditures 15-22'!D266-E9</f>
        <v>816298</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241464</v>
      </c>
      <c r="F29" s="1798"/>
      <c r="G29" s="1801">
        <f>'Expenditures 15-22'!K62-SUM('Expenditures 15-22'!G62,'Expenditures 15-22'!I62)+'Expenditures 15-22'!K125-SUM('Expenditures 15-22'!G125,'Expenditures 15-22'!I125)+'Expenditures 15-22'!K182-SUM('Expenditures 15-22'!G182,'Expenditures 15-22'!I182)+'Expenditures 15-22'!D267</f>
        <v>241464</v>
      </c>
      <c r="H29" s="982"/>
    </row>
    <row r="30" spans="1:9" ht="12" customHeight="1" x14ac:dyDescent="0.2">
      <c r="A30" s="991" t="s">
        <v>100</v>
      </c>
      <c r="B30" s="994"/>
      <c r="C30" s="990">
        <v>2560</v>
      </c>
      <c r="D30" s="1798"/>
      <c r="E30" s="1800">
        <f>'Expenditures 15-22'!K63-SUM('Expenditures 15-22'!G63,'Expenditures 15-22'!I63)+'Expenditures 15-22'!D268-E10</f>
        <v>152079.18</v>
      </c>
      <c r="F30" s="1798"/>
      <c r="G30" s="1800">
        <f>'Expenditures 15-22'!K63-SUM('Expenditures 15-22'!G63,'Expenditures 15-22'!I63)+'Expenditures 15-22'!D268-E10</f>
        <v>152079.18</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17972</v>
      </c>
      <c r="F38" s="1798"/>
      <c r="G38" s="1800">
        <f>'Expenditures 15-22'!K73-SUM('Expenditures 15-22'!G73,'Expenditures 15-22'!I73)+'Expenditures 15-22'!K128-SUM('Expenditures 15-22'!G128,'Expenditures 15-22'!I128)+'Expenditures 15-22'!K183-SUM('Expenditures 15-22'!G183,'Expenditures 15-22'!I183)+'Expenditures 15-22'!D278</f>
        <v>17972</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1540</v>
      </c>
      <c r="F39" s="1798"/>
      <c r="G39" s="1800">
        <f>'Expenditures 15-22'!K75-SUM('Expenditures 15-22'!G75,'Expenditures 15-22'!I75)+'Expenditures 15-22'!K130-SUM('Expenditures 15-22'!G130,'Expenditures 15-22'!I130)+'Expenditures 15-22'!K185-SUM('Expenditures 15-22'!G185,'Expenditures 15-22'!I185)+'Expenditures 15-22'!D280</f>
        <v>1540</v>
      </c>
    </row>
    <row r="40" spans="1:7" ht="12" customHeight="1" x14ac:dyDescent="0.2">
      <c r="A40" s="987" t="s">
        <v>1823</v>
      </c>
      <c r="B40" s="988"/>
      <c r="C40" s="990"/>
      <c r="D40" s="1798"/>
      <c r="E40" s="1802">
        <f>-'Contracts Paid in CY 29'!G141</f>
        <v>-254099</v>
      </c>
      <c r="F40" s="1798"/>
      <c r="G40" s="1802">
        <f>-'Contracts Paid in CY 29'!G141</f>
        <v>-254099</v>
      </c>
    </row>
    <row r="41" spans="1:7" ht="12" customHeight="1" x14ac:dyDescent="0.2">
      <c r="A41" s="995" t="s">
        <v>156</v>
      </c>
      <c r="B41" s="996"/>
      <c r="C41" s="997"/>
      <c r="D41" s="1802">
        <f>SUM(D19:D39)</f>
        <v>100359</v>
      </c>
      <c r="E41" s="1802">
        <f>SUM(E19:E40)</f>
        <v>7350099.1799999997</v>
      </c>
      <c r="F41" s="1802">
        <f>SUM(F19:F39)</f>
        <v>916657</v>
      </c>
      <c r="G41" s="1802">
        <f>SUM(G19:G40)</f>
        <v>6533801.1799999997</v>
      </c>
    </row>
    <row r="42" spans="1:7" x14ac:dyDescent="0.2">
      <c r="A42" s="984"/>
      <c r="B42" s="162"/>
      <c r="C42" s="998"/>
      <c r="D42" s="2285" t="s">
        <v>522</v>
      </c>
      <c r="E42" s="2286"/>
      <c r="F42" s="999" t="s">
        <v>523</v>
      </c>
      <c r="G42" s="1000"/>
    </row>
    <row r="43" spans="1:7" ht="12" customHeight="1" x14ac:dyDescent="0.2">
      <c r="A43" s="984"/>
      <c r="B43" s="162"/>
      <c r="C43" s="998"/>
      <c r="D43" s="1803" t="s">
        <v>473</v>
      </c>
      <c r="E43" s="1804">
        <f>D41</f>
        <v>100359</v>
      </c>
      <c r="F43" s="1803" t="s">
        <v>473</v>
      </c>
      <c r="G43" s="1804">
        <f>F41</f>
        <v>916657</v>
      </c>
    </row>
    <row r="44" spans="1:7" ht="12" customHeight="1" x14ac:dyDescent="0.2">
      <c r="A44" s="984"/>
      <c r="B44" s="162"/>
      <c r="C44" s="998"/>
      <c r="D44" s="1803" t="s">
        <v>474</v>
      </c>
      <c r="E44" s="1804">
        <f>E41</f>
        <v>7350099.1799999997</v>
      </c>
      <c r="F44" s="1803" t="s">
        <v>474</v>
      </c>
      <c r="G44" s="1804">
        <f>G41</f>
        <v>6533801.1799999997</v>
      </c>
    </row>
    <row r="45" spans="1:7" ht="12" customHeight="1" x14ac:dyDescent="0.2">
      <c r="A45" s="984"/>
      <c r="B45" s="162"/>
      <c r="C45" s="162"/>
      <c r="D45" s="1805" t="s">
        <v>1006</v>
      </c>
      <c r="E45" s="1806">
        <f>(E43/E44)</f>
        <v>1.3654101467512444E-2</v>
      </c>
      <c r="F45" s="1805" t="s">
        <v>1006</v>
      </c>
      <c r="G45" s="1806">
        <f>(G43/G44)</f>
        <v>0.14029459647561546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20" zoomScaleNormal="120" workbookViewId="0">
      <pane ySplit="4" topLeftCell="A5" activePane="bottomLeft" state="frozen"/>
      <selection activeCell="A18" sqref="A18"/>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04" t="s">
        <v>1379</v>
      </c>
      <c r="B1" s="2304"/>
      <c r="C1" s="2304"/>
      <c r="D1" s="2304"/>
      <c r="E1" s="2304"/>
      <c r="F1" s="2304"/>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05" t="s">
        <v>1546</v>
      </c>
      <c r="B5" s="2306"/>
      <c r="C5" s="2307"/>
      <c r="D5" s="2307"/>
      <c r="E5" s="2307"/>
      <c r="F5" s="2307"/>
    </row>
    <row r="6" spans="1:10" ht="12" customHeight="1" x14ac:dyDescent="0.25">
      <c r="A6" s="1846"/>
      <c r="B6" s="1847"/>
      <c r="C6" s="2308" t="str">
        <f>COVER!A17</f>
        <v>Seneca CCSD 170</v>
      </c>
      <c r="D6" s="2308"/>
      <c r="E6" s="2308"/>
      <c r="F6" s="1848"/>
    </row>
    <row r="7" spans="1:10" ht="11.25" customHeight="1" thickBot="1" x14ac:dyDescent="0.3">
      <c r="A7" s="1846"/>
      <c r="B7" s="1847"/>
      <c r="C7" s="2309">
        <f>COVER!A13</f>
        <v>35050170004</v>
      </c>
      <c r="D7" s="2309"/>
      <c r="E7" s="2309"/>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t="s">
        <v>2077</v>
      </c>
      <c r="D15" s="1861" t="s">
        <v>2077</v>
      </c>
      <c r="E15" s="1864"/>
      <c r="F15" s="1863" t="s">
        <v>2081</v>
      </c>
      <c r="H15" s="1874">
        <f t="shared" si="0"/>
        <v>5</v>
      </c>
      <c r="I15" s="1874">
        <f t="shared" si="1"/>
        <v>5</v>
      </c>
      <c r="J15" s="1874">
        <f t="shared" si="2"/>
        <v>0</v>
      </c>
    </row>
    <row r="16" spans="1:10" ht="12" customHeight="1" x14ac:dyDescent="0.2">
      <c r="A16" s="1859" t="s">
        <v>1388</v>
      </c>
      <c r="B16" s="1860"/>
      <c r="C16" s="1861" t="s">
        <v>2077</v>
      </c>
      <c r="D16" s="1861" t="s">
        <v>2077</v>
      </c>
      <c r="E16" s="1864"/>
      <c r="F16" s="1863" t="s">
        <v>2082</v>
      </c>
      <c r="H16" s="1874">
        <f t="shared" si="0"/>
        <v>5</v>
      </c>
      <c r="I16" s="1874">
        <f t="shared" si="1"/>
        <v>5</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t="s">
        <v>2077</v>
      </c>
      <c r="D24" s="1861" t="s">
        <v>2077</v>
      </c>
      <c r="E24" s="1864"/>
      <c r="F24" s="1863" t="s">
        <v>2083</v>
      </c>
      <c r="H24" s="1874">
        <f t="shared" si="0"/>
        <v>5</v>
      </c>
      <c r="I24" s="1874">
        <f t="shared" si="1"/>
        <v>5</v>
      </c>
      <c r="J24" s="1874">
        <f t="shared" si="2"/>
        <v>0</v>
      </c>
    </row>
    <row r="25" spans="1:12" ht="12" customHeight="1" x14ac:dyDescent="0.2">
      <c r="A25" s="1859" t="s">
        <v>1533</v>
      </c>
      <c r="B25" s="1860"/>
      <c r="C25" s="1861"/>
      <c r="D25" s="1861"/>
      <c r="E25" s="1864"/>
      <c r="F25" s="1863"/>
      <c r="H25" s="1874">
        <f t="shared" si="0"/>
        <v>0</v>
      </c>
      <c r="I25" s="1874">
        <f t="shared" si="1"/>
        <v>0</v>
      </c>
      <c r="J25" s="1874">
        <f t="shared" si="2"/>
        <v>0</v>
      </c>
    </row>
    <row r="26" spans="1:12" ht="12" customHeight="1" x14ac:dyDescent="0.2">
      <c r="A26" s="1859" t="s">
        <v>1534</v>
      </c>
      <c r="B26" s="1860"/>
      <c r="C26" s="1861" t="s">
        <v>2077</v>
      </c>
      <c r="D26" s="1861" t="s">
        <v>2077</v>
      </c>
      <c r="E26" s="1864"/>
      <c r="F26" s="1863" t="s">
        <v>2084</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t="s">
        <v>2077</v>
      </c>
      <c r="D29" s="1861" t="s">
        <v>2077</v>
      </c>
      <c r="E29" s="1864"/>
      <c r="F29" s="1863" t="s">
        <v>2085</v>
      </c>
      <c r="H29" s="1874">
        <f t="shared" si="0"/>
        <v>5</v>
      </c>
      <c r="I29" s="1874">
        <f t="shared" si="1"/>
        <v>5</v>
      </c>
      <c r="J29" s="1874">
        <f t="shared" si="2"/>
        <v>0</v>
      </c>
    </row>
    <row r="30" spans="1:12" ht="12" customHeight="1" x14ac:dyDescent="0.2">
      <c r="A30" s="1859" t="s">
        <v>1538</v>
      </c>
      <c r="B30" s="1860"/>
      <c r="C30" s="1861" t="s">
        <v>2077</v>
      </c>
      <c r="D30" s="1861" t="s">
        <v>2077</v>
      </c>
      <c r="E30" s="1864"/>
      <c r="F30" s="1863" t="s">
        <v>2088</v>
      </c>
      <c r="H30" s="1874">
        <f t="shared" si="0"/>
        <v>5</v>
      </c>
      <c r="I30" s="1874">
        <f t="shared" si="1"/>
        <v>5</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t="s">
        <v>2077</v>
      </c>
      <c r="D32" s="1861" t="s">
        <v>2077</v>
      </c>
      <c r="E32" s="1864"/>
      <c r="F32" s="1863" t="s">
        <v>2086</v>
      </c>
      <c r="H32" s="1874">
        <f t="shared" si="0"/>
        <v>5</v>
      </c>
      <c r="I32" s="1874">
        <f t="shared" si="1"/>
        <v>5</v>
      </c>
      <c r="J32" s="1874">
        <f t="shared" si="2"/>
        <v>0</v>
      </c>
    </row>
    <row r="33" spans="1:11" ht="12" customHeight="1" x14ac:dyDescent="0.2">
      <c r="A33" s="1859" t="s">
        <v>1541</v>
      </c>
      <c r="B33" s="1860"/>
      <c r="C33" s="1861" t="s">
        <v>2077</v>
      </c>
      <c r="D33" s="1861" t="s">
        <v>2077</v>
      </c>
      <c r="E33" s="1864"/>
      <c r="F33" s="1863" t="s">
        <v>2087</v>
      </c>
      <c r="H33" s="1874">
        <f t="shared" si="0"/>
        <v>5</v>
      </c>
      <c r="I33" s="1874">
        <f t="shared" si="1"/>
        <v>5</v>
      </c>
      <c r="J33" s="1874">
        <f t="shared" si="2"/>
        <v>0</v>
      </c>
    </row>
    <row r="34" spans="1:11" ht="12" customHeight="1" x14ac:dyDescent="0.25">
      <c r="A34" s="1866"/>
      <c r="B34" s="1866"/>
      <c r="C34" s="1866"/>
      <c r="D34" s="1866"/>
      <c r="E34" s="1866"/>
      <c r="F34" s="1866"/>
      <c r="H34" s="1874">
        <f>SUM(H11:H32)</f>
        <v>35</v>
      </c>
      <c r="I34" s="1874">
        <f>SUM(I11:I32)</f>
        <v>35</v>
      </c>
      <c r="J34" s="1874">
        <f>SUM(J11:J32)</f>
        <v>0</v>
      </c>
      <c r="K34" s="1874">
        <f>SUM(H34:J34)</f>
        <v>70</v>
      </c>
    </row>
    <row r="35" spans="1:11" ht="12" customHeight="1" x14ac:dyDescent="0.2">
      <c r="A35" s="1867" t="s">
        <v>1392</v>
      </c>
      <c r="B35" s="1868"/>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69"/>
      <c r="B39" s="1869"/>
      <c r="C39" s="1869"/>
      <c r="D39" s="1869"/>
      <c r="E39" s="1869"/>
      <c r="F39" s="1869"/>
    </row>
    <row r="40" spans="1:11" s="1866" customFormat="1" ht="12" customHeight="1" x14ac:dyDescent="0.25">
      <c r="A40" s="1870" t="s">
        <v>1391</v>
      </c>
      <c r="B40" s="1871"/>
      <c r="C40" s="2299"/>
      <c r="D40" s="2299"/>
      <c r="E40" s="2299"/>
      <c r="F40" s="2300"/>
      <c r="H40" s="1875"/>
      <c r="I40" s="1875"/>
      <c r="J40" s="1875"/>
      <c r="K40" s="1875"/>
    </row>
    <row r="41" spans="1:11" s="1866" customFormat="1" ht="12" customHeight="1" x14ac:dyDescent="0.25">
      <c r="A41" s="2301"/>
      <c r="B41" s="2302"/>
      <c r="C41" s="2302"/>
      <c r="D41" s="2302"/>
      <c r="E41" s="2302"/>
      <c r="F41" s="2303"/>
      <c r="H41" s="1875"/>
      <c r="I41" s="1875"/>
      <c r="J41" s="1875"/>
      <c r="K41" s="1875"/>
    </row>
    <row r="42" spans="1:11" s="1866" customFormat="1" ht="12" customHeight="1" x14ac:dyDescent="0.25">
      <c r="A42" s="2301"/>
      <c r="B42" s="2302"/>
      <c r="C42" s="2302"/>
      <c r="D42" s="2302"/>
      <c r="E42" s="2302"/>
      <c r="F42" s="2303"/>
      <c r="H42" s="1875"/>
      <c r="I42" s="1875"/>
      <c r="J42" s="1875"/>
      <c r="K42" s="1875"/>
    </row>
    <row r="43" spans="1:11" s="1866" customFormat="1" ht="15" x14ac:dyDescent="0.25">
      <c r="A43" s="2290"/>
      <c r="B43" s="2291"/>
      <c r="C43" s="2291"/>
      <c r="D43" s="2291"/>
      <c r="E43" s="2291"/>
      <c r="F43" s="2292"/>
      <c r="H43" s="1875"/>
      <c r="I43" s="1875"/>
      <c r="J43" s="1875"/>
      <c r="K43" s="1875"/>
    </row>
    <row r="44" spans="1:11" s="1866" customFormat="1" ht="12" hidden="1" customHeight="1" x14ac:dyDescent="0.25">
      <c r="A44" s="2290"/>
      <c r="B44" s="2291"/>
      <c r="C44" s="2291"/>
      <c r="D44" s="2291"/>
      <c r="E44" s="2291"/>
      <c r="F44" s="2292"/>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17" t="str">
        <f>COVER!A17</f>
        <v>Seneca CCSD 170</v>
      </c>
      <c r="J6" s="2318"/>
      <c r="Q6" s="1660"/>
    </row>
    <row r="7" spans="1:17" x14ac:dyDescent="0.2">
      <c r="A7" s="2319" t="s">
        <v>869</v>
      </c>
      <c r="B7" s="2320"/>
      <c r="C7" s="2320"/>
      <c r="D7" s="2320"/>
      <c r="E7" s="2321"/>
      <c r="F7" s="1014"/>
      <c r="G7" s="1006"/>
      <c r="H7" s="1013" t="s">
        <v>372</v>
      </c>
      <c r="I7" s="2322">
        <f>COVER!A13</f>
        <v>35050170004</v>
      </c>
      <c r="J7" s="2322"/>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23" t="s">
        <v>481</v>
      </c>
      <c r="B11" s="2324"/>
      <c r="C11" s="2325"/>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197380</v>
      </c>
      <c r="F12" s="1036"/>
      <c r="G12" s="1807">
        <f t="shared" ref="G12:G18" si="0">SUM(E12:F12)</f>
        <v>197380</v>
      </c>
      <c r="H12" s="1037">
        <v>205624</v>
      </c>
      <c r="I12" s="1036"/>
      <c r="J12" s="1807">
        <f t="shared" ref="J12:J18" si="1">SUM(H12:I12)</f>
        <v>205624</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26" t="s">
        <v>7</v>
      </c>
      <c r="C18" s="2327"/>
      <c r="D18" s="2328"/>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197380</v>
      </c>
      <c r="F19" s="1809">
        <f t="shared" si="2"/>
        <v>0</v>
      </c>
      <c r="G19" s="1809">
        <f t="shared" si="2"/>
        <v>197380</v>
      </c>
      <c r="H19" s="1809">
        <f t="shared" si="2"/>
        <v>205624</v>
      </c>
      <c r="I19" s="1809">
        <f t="shared" si="2"/>
        <v>0</v>
      </c>
      <c r="J19" s="1809">
        <f t="shared" si="2"/>
        <v>205624</v>
      </c>
    </row>
    <row r="20" spans="1:10" ht="13.5" thickTop="1" x14ac:dyDescent="0.2">
      <c r="A20" s="1032">
        <v>9</v>
      </c>
      <c r="B20" s="2329" t="s">
        <v>1981</v>
      </c>
      <c r="C20" s="2329"/>
      <c r="D20" s="2330"/>
      <c r="E20" s="1043"/>
      <c r="F20" s="1043"/>
      <c r="G20" s="1043"/>
      <c r="H20" s="1043"/>
      <c r="I20" s="1043"/>
      <c r="J20" s="1810">
        <f>IF(AND(G19&gt;0,J19&gt;0),(((J19-G19)/G19)),"Enter Budget Data")</f>
        <v>4.1767149660553247E-2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35"/>
      <c r="D26" s="2335"/>
      <c r="E26" s="1047"/>
      <c r="F26" s="2334"/>
      <c r="G26" s="2334"/>
    </row>
    <row r="27" spans="1:10" x14ac:dyDescent="0.2">
      <c r="B27" s="1044"/>
      <c r="C27" s="1048" t="s">
        <v>1033</v>
      </c>
      <c r="D27" s="1049"/>
      <c r="E27" s="1050"/>
      <c r="F27" s="2331" t="s">
        <v>1509</v>
      </c>
      <c r="G27" s="2331"/>
    </row>
    <row r="28" spans="1:10" ht="28.5" customHeight="1" x14ac:dyDescent="0.2">
      <c r="B28" s="1044"/>
      <c r="C28" s="2333"/>
      <c r="D28" s="2333"/>
      <c r="E28" s="1051"/>
      <c r="F28" s="2333"/>
      <c r="G28" s="2333"/>
    </row>
    <row r="29" spans="1:10" x14ac:dyDescent="0.2">
      <c r="B29" s="1044"/>
      <c r="C29" s="1052" t="s">
        <v>1561</v>
      </c>
      <c r="E29" s="1053"/>
      <c r="F29" s="2332" t="s">
        <v>1510</v>
      </c>
      <c r="G29" s="2332"/>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59"/>
    </row>
    <row r="36" spans="1:10" ht="13.5" customHeight="1" x14ac:dyDescent="0.2">
      <c r="B36" s="1058"/>
      <c r="C36" s="2316" t="s">
        <v>1983</v>
      </c>
      <c r="D36" s="2315"/>
      <c r="E36" s="2315"/>
      <c r="F36" s="2315"/>
      <c r="G36" s="2315"/>
      <c r="H36" s="2315"/>
      <c r="I36" s="2315"/>
      <c r="J36" s="1060"/>
    </row>
    <row r="37" spans="1:10" ht="22.5" customHeight="1" x14ac:dyDescent="0.2">
      <c r="C37" s="2315"/>
      <c r="D37" s="2315"/>
      <c r="E37" s="2315"/>
      <c r="F37" s="2315"/>
      <c r="G37" s="2315"/>
      <c r="H37" s="2315"/>
      <c r="I37" s="2315"/>
      <c r="J37" s="1060"/>
    </row>
    <row r="38" spans="1:10" ht="7.5" customHeight="1" x14ac:dyDescent="0.2">
      <c r="C38" s="1059"/>
      <c r="D38" s="1061"/>
      <c r="E38" s="1062"/>
      <c r="F38" s="1063"/>
      <c r="G38" s="1062"/>
    </row>
    <row r="39" spans="1:10" ht="13.5" customHeight="1" x14ac:dyDescent="0.2">
      <c r="B39" s="1058"/>
      <c r="C39" s="2312" t="s">
        <v>882</v>
      </c>
      <c r="D39" s="2313"/>
      <c r="E39" s="2313"/>
      <c r="F39" s="2313"/>
      <c r="G39" s="2313"/>
      <c r="H39" s="2313"/>
      <c r="I39" s="2313"/>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2118</v>
      </c>
    </row>
    <row r="6" spans="1:2" x14ac:dyDescent="0.2">
      <c r="A6" s="1065">
        <v>2</v>
      </c>
      <c r="B6" s="329" t="s">
        <v>2100</v>
      </c>
    </row>
    <row r="7" spans="1:2" x14ac:dyDescent="0.2">
      <c r="A7" s="1065">
        <v>3</v>
      </c>
      <c r="B7" s="329" t="s">
        <v>2102</v>
      </c>
    </row>
    <row r="8" spans="1:2" x14ac:dyDescent="0.2">
      <c r="A8" s="1065">
        <v>4</v>
      </c>
      <c r="B8" s="329" t="s">
        <v>2101</v>
      </c>
    </row>
    <row r="9" spans="1:2" x14ac:dyDescent="0.2">
      <c r="A9" s="1065">
        <v>5</v>
      </c>
      <c r="B9" s="329" t="s">
        <v>2119</v>
      </c>
    </row>
    <row r="10" spans="1:2" x14ac:dyDescent="0.2">
      <c r="A10" s="1065">
        <v>6</v>
      </c>
      <c r="B10" s="329" t="s">
        <v>2103</v>
      </c>
    </row>
    <row r="11" spans="1:2" x14ac:dyDescent="0.2">
      <c r="A11" s="1065">
        <v>7</v>
      </c>
      <c r="B11" s="329" t="s">
        <v>2104</v>
      </c>
    </row>
    <row r="12" spans="1:2" x14ac:dyDescent="0.2">
      <c r="A12" s="1065">
        <v>8</v>
      </c>
      <c r="B12" s="329" t="s">
        <v>2105</v>
      </c>
    </row>
    <row r="13" spans="1:2" x14ac:dyDescent="0.2">
      <c r="A13" s="1065">
        <v>9</v>
      </c>
      <c r="B13" s="329" t="s">
        <v>2120</v>
      </c>
    </row>
    <row r="14" spans="1:2" x14ac:dyDescent="0.2">
      <c r="A14" s="1065">
        <v>10</v>
      </c>
      <c r="B14" s="329" t="s">
        <v>2121</v>
      </c>
    </row>
    <row r="15" spans="1:2" x14ac:dyDescent="0.2">
      <c r="A15" s="1065">
        <v>11</v>
      </c>
      <c r="B15" s="329" t="s">
        <v>2106</v>
      </c>
    </row>
    <row r="16" spans="1:2" x14ac:dyDescent="0.2">
      <c r="A16" s="1065" t="s">
        <v>1169</v>
      </c>
      <c r="B16" s="329" t="s">
        <v>1169</v>
      </c>
    </row>
    <row r="17" spans="1:2" x14ac:dyDescent="0.2">
      <c r="A17" s="1065" t="s">
        <v>1169</v>
      </c>
      <c r="B17" s="329" t="s">
        <v>1169</v>
      </c>
    </row>
    <row r="18" spans="1:2" x14ac:dyDescent="0.2">
      <c r="A18" s="1065" t="s">
        <v>1169</v>
      </c>
      <c r="B18" s="329" t="s">
        <v>1169</v>
      </c>
    </row>
    <row r="19" spans="1:2" x14ac:dyDescent="0.2">
      <c r="A19" s="1065" t="s">
        <v>1169</v>
      </c>
    </row>
    <row r="20" spans="1:2" x14ac:dyDescent="0.2">
      <c r="A20" s="1065"/>
    </row>
    <row r="21" spans="1:2" x14ac:dyDescent="0.2">
      <c r="A21" s="1065"/>
    </row>
    <row r="22" spans="1:2" x14ac:dyDescent="0.2">
      <c r="A22" s="1065"/>
    </row>
    <row r="23" spans="1:2" x14ac:dyDescent="0.2">
      <c r="A23" s="1065"/>
    </row>
    <row r="24" spans="1:2" x14ac:dyDescent="0.2">
      <c r="A24" s="1065"/>
    </row>
    <row r="25" spans="1:2" x14ac:dyDescent="0.2">
      <c r="A25" s="1065"/>
    </row>
    <row r="26" spans="1:2" x14ac:dyDescent="0.2">
      <c r="A26" s="1065"/>
    </row>
    <row r="27" spans="1:2" x14ac:dyDescent="0.2">
      <c r="A27" s="1065"/>
    </row>
    <row r="28" spans="1:2" x14ac:dyDescent="0.2">
      <c r="A28" s="1065"/>
    </row>
    <row r="29" spans="1:2" x14ac:dyDescent="0.2">
      <c r="A29" s="1065"/>
    </row>
    <row r="30" spans="1:2" x14ac:dyDescent="0.2">
      <c r="A30" s="1065"/>
    </row>
    <row r="31" spans="1:2" x14ac:dyDescent="0.2">
      <c r="A31" s="1065"/>
    </row>
    <row r="32" spans="1:2"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2" x14ac:dyDescent="0.2">
      <c r="A49" s="1065"/>
    </row>
    <row r="50" spans="1:2" x14ac:dyDescent="0.2">
      <c r="A50" s="1065"/>
    </row>
    <row r="51" spans="1:2" x14ac:dyDescent="0.2">
      <c r="A51" s="1065"/>
    </row>
    <row r="52" spans="1:2" x14ac:dyDescent="0.2">
      <c r="A52" s="1065"/>
    </row>
    <row r="53" spans="1:2" x14ac:dyDescent="0.2">
      <c r="A53" s="1065"/>
    </row>
    <row r="54" spans="1:2" x14ac:dyDescent="0.2">
      <c r="A54" s="1065"/>
    </row>
    <row r="55" spans="1:2" x14ac:dyDescent="0.2">
      <c r="A55" s="1065"/>
    </row>
    <row r="56" spans="1:2" x14ac:dyDescent="0.2">
      <c r="A56" s="1065"/>
    </row>
    <row r="57" spans="1:2" x14ac:dyDescent="0.2">
      <c r="A57" s="1065"/>
    </row>
    <row r="58" spans="1:2" x14ac:dyDescent="0.2">
      <c r="A58" s="1065"/>
    </row>
    <row r="59" spans="1:2" x14ac:dyDescent="0.2">
      <c r="A59" s="1065"/>
    </row>
    <row r="60" spans="1:2" x14ac:dyDescent="0.2">
      <c r="A60" s="1065"/>
    </row>
    <row r="61" spans="1:2" x14ac:dyDescent="0.2">
      <c r="A61" s="1065"/>
    </row>
    <row r="62" spans="1:2" x14ac:dyDescent="0.2">
      <c r="A62" s="1065"/>
    </row>
    <row r="63" spans="1:2" x14ac:dyDescent="0.2">
      <c r="A63" s="1065"/>
    </row>
    <row r="64" spans="1:2" x14ac:dyDescent="0.2">
      <c r="A64" s="1065"/>
      <c r="B64" s="258" t="str">
        <f>COVER!A17</f>
        <v>Seneca CCSD 170</v>
      </c>
    </row>
    <row r="65" spans="2:2" x14ac:dyDescent="0.2">
      <c r="B65" s="1066">
        <f>COVER!A13</f>
        <v>35050170004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36" t="s">
        <v>1685</v>
      </c>
      <c r="B18" s="2336"/>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1047750</xdr:colOff>
                <xdr:row>0</xdr:row>
                <xdr:rowOff>152400</xdr:rowOff>
              </from>
              <to>
                <xdr:col>1</xdr:col>
                <xdr:colOff>1962150</xdr:colOff>
                <xdr:row>5</xdr:row>
                <xdr:rowOff>28575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0"/>
      <c r="H2" s="1070"/>
    </row>
    <row r="3" spans="1:8" ht="57" customHeight="1" x14ac:dyDescent="0.2">
      <c r="A3" s="2350" t="s">
        <v>1686</v>
      </c>
      <c r="B3" s="2351"/>
      <c r="C3" s="2351"/>
      <c r="D3" s="2351"/>
      <c r="E3" s="2351"/>
      <c r="F3" s="2352"/>
      <c r="G3" s="1070"/>
      <c r="H3" s="1070"/>
    </row>
    <row r="4" spans="1:8" ht="14.25" customHeight="1" x14ac:dyDescent="0.2">
      <c r="A4" s="2356" t="s">
        <v>1988</v>
      </c>
      <c r="B4" s="2357"/>
      <c r="C4" s="2357"/>
      <c r="D4" s="2357"/>
      <c r="E4" s="2357"/>
      <c r="F4" s="2358"/>
      <c r="G4" s="1070"/>
      <c r="H4" s="1070"/>
    </row>
    <row r="5" spans="1:8" ht="14.25" customHeight="1" x14ac:dyDescent="0.2">
      <c r="A5" s="2359" t="s">
        <v>1984</v>
      </c>
      <c r="B5" s="2360"/>
      <c r="C5" s="2360"/>
      <c r="D5" s="2360"/>
      <c r="E5" s="2360"/>
      <c r="F5" s="2361"/>
      <c r="G5" s="1070"/>
      <c r="H5" s="1070"/>
    </row>
    <row r="6" spans="1:8" s="1071" customFormat="1" ht="41.25" customHeight="1" x14ac:dyDescent="0.2">
      <c r="A6" s="2353" t="s">
        <v>1691</v>
      </c>
      <c r="B6" s="2354"/>
      <c r="C6" s="2354"/>
      <c r="D6" s="2354"/>
      <c r="E6" s="2354"/>
      <c r="F6" s="2355"/>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6764740</v>
      </c>
      <c r="C8" s="1811">
        <f>'Acct Summary 7-8'!D8</f>
        <v>1292224</v>
      </c>
      <c r="D8" s="1811">
        <f>'Acct Summary 7-8'!F8</f>
        <v>301249</v>
      </c>
      <c r="E8" s="1811">
        <f>'Acct Summary 7-8'!I8</f>
        <v>120546</v>
      </c>
      <c r="F8" s="1811">
        <f>SUM(B8:E8)</f>
        <v>8478759</v>
      </c>
    </row>
    <row r="9" spans="1:8" s="1075" customFormat="1" ht="14.25" customHeight="1" thickBot="1" x14ac:dyDescent="0.25">
      <c r="A9" s="1074" t="s">
        <v>1369</v>
      </c>
      <c r="B9" s="1812">
        <f>'Acct Summary 7-8'!C17</f>
        <v>6580664</v>
      </c>
      <c r="C9" s="1812">
        <f>'Acct Summary 7-8'!D17</f>
        <v>1007026</v>
      </c>
      <c r="D9" s="1812">
        <f>'Acct Summary 7-8'!F17</f>
        <v>310983</v>
      </c>
      <c r="E9" s="1811"/>
      <c r="F9" s="1811">
        <f>SUM(B9:E9)</f>
        <v>7898673</v>
      </c>
    </row>
    <row r="10" spans="1:8" s="1075" customFormat="1" ht="14.25" thickTop="1" thickBot="1" x14ac:dyDescent="0.25">
      <c r="A10" s="1076" t="s">
        <v>1370</v>
      </c>
      <c r="B10" s="1813">
        <f>(B8-B9)</f>
        <v>184076</v>
      </c>
      <c r="C10" s="1813">
        <f>(C8-C9)</f>
        <v>285198</v>
      </c>
      <c r="D10" s="1813">
        <f>(D8-D9)</f>
        <v>-9734</v>
      </c>
      <c r="E10" s="1812">
        <f>(E8-E9)</f>
        <v>120546</v>
      </c>
      <c r="F10" s="1814">
        <f>SUM(F8-F9)</f>
        <v>580086</v>
      </c>
    </row>
    <row r="11" spans="1:8" s="1075" customFormat="1" ht="14.25" thickTop="1" thickBot="1" x14ac:dyDescent="0.25">
      <c r="A11" s="1077" t="s">
        <v>1985</v>
      </c>
      <c r="B11" s="1815">
        <f>'Acct Summary 7-8'!C81</f>
        <v>11730638</v>
      </c>
      <c r="C11" s="1815">
        <f>'Acct Summary 7-8'!D81</f>
        <v>791683</v>
      </c>
      <c r="D11" s="1815">
        <f>'Acct Summary 7-8'!F81</f>
        <v>331679</v>
      </c>
      <c r="E11" s="1815">
        <f>'Acct Summary 7-8'!I81</f>
        <v>759750</v>
      </c>
      <c r="F11" s="1816">
        <f>SUM(B11:E11)</f>
        <v>13613750</v>
      </c>
    </row>
    <row r="12" spans="1:8" ht="16.5" customHeight="1" thickTop="1" x14ac:dyDescent="0.2">
      <c r="A12" s="1078"/>
      <c r="B12" s="1079"/>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0"/>
      <c r="B13" s="1081"/>
      <c r="C13" s="2341"/>
      <c r="D13" s="2342"/>
      <c r="E13" s="2342"/>
      <c r="F13" s="2343"/>
      <c r="H13" s="1070"/>
    </row>
    <row r="14" spans="1:8" ht="19.5" customHeight="1" x14ac:dyDescent="0.2">
      <c r="A14" s="1080"/>
      <c r="B14" s="1081"/>
      <c r="C14" s="2341"/>
      <c r="D14" s="2342"/>
      <c r="E14" s="2342"/>
      <c r="F14" s="2343"/>
      <c r="H14" s="1070"/>
    </row>
    <row r="15" spans="1:8" ht="17.25" customHeight="1" x14ac:dyDescent="0.2">
      <c r="A15" s="1080"/>
      <c r="B15" s="1081"/>
      <c r="C15" s="2344"/>
      <c r="D15" s="2345"/>
      <c r="E15" s="2345"/>
      <c r="F15" s="2346"/>
      <c r="H15" s="1070"/>
    </row>
    <row r="16" spans="1:8" s="310" customFormat="1" ht="51.75" hidden="1" customHeight="1" x14ac:dyDescent="0.2">
      <c r="A16" s="2340" t="s">
        <v>1687</v>
      </c>
      <c r="B16" s="2340"/>
      <c r="C16" s="2340"/>
      <c r="D16" s="2340"/>
      <c r="E16" s="2340"/>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62" t="s">
        <v>665</v>
      </c>
      <c r="B3" s="2363"/>
      <c r="C3" s="2363"/>
      <c r="D3" s="2364"/>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73" t="s">
        <v>1504</v>
      </c>
      <c r="D7" s="2374"/>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65" t="s">
        <v>1008</v>
      </c>
      <c r="B15" s="2366"/>
      <c r="C15" s="2366"/>
      <c r="D15" s="2367"/>
    </row>
    <row r="16" spans="1:4" s="665" customFormat="1" ht="24" customHeight="1" x14ac:dyDescent="0.2">
      <c r="A16" s="2368" t="s">
        <v>663</v>
      </c>
      <c r="B16" s="2369"/>
      <c r="C16" s="2369"/>
      <c r="D16" s="2370"/>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77" t="s">
        <v>314</v>
      </c>
      <c r="D21" s="2378"/>
    </row>
    <row r="22" spans="1:10" ht="12.75" x14ac:dyDescent="0.2">
      <c r="A22" s="1135"/>
      <c r="B22" s="1136">
        <v>2</v>
      </c>
      <c r="C22" s="2375" t="s">
        <v>1524</v>
      </c>
      <c r="D22" s="2376"/>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OK</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79" t="s">
        <v>536</v>
      </c>
      <c r="D43" s="2380"/>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71" t="s">
        <v>784</v>
      </c>
      <c r="D56" s="2372"/>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71" t="s">
        <v>1696</v>
      </c>
      <c r="D70" s="2372"/>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OK</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35050170004</v>
      </c>
    </row>
    <row r="3" spans="1:2" x14ac:dyDescent="0.2">
      <c r="A3" t="s">
        <v>956</v>
      </c>
      <c r="B3" s="138" t="str">
        <f>COVER!A15</f>
        <v>LaSalle</v>
      </c>
    </row>
    <row r="4" spans="1:2" x14ac:dyDescent="0.2">
      <c r="A4" t="s">
        <v>1007</v>
      </c>
      <c r="B4" s="138" t="str">
        <f>COVER!A17</f>
        <v>Seneca CCSD 170</v>
      </c>
    </row>
    <row r="5" spans="1:2" x14ac:dyDescent="0.2">
      <c r="A5" t="s">
        <v>704</v>
      </c>
      <c r="B5" s="138" t="str">
        <f>COVER!A38</f>
        <v>Eric Misener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A.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11346103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11730638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11730638</v>
      </c>
      <c r="D92" s="2" t="str">
        <f t="shared" si="0"/>
        <v>Error?</v>
      </c>
    </row>
    <row r="93" spans="1:4" x14ac:dyDescent="0.2">
      <c r="A93" s="5">
        <v>32</v>
      </c>
      <c r="B93" s="138">
        <f>'Assets-Liab 5-6'!C41</f>
        <v>11730638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760862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791683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791683</v>
      </c>
      <c r="D123" s="2" t="str">
        <f t="shared" si="0"/>
        <v>Error?</v>
      </c>
    </row>
    <row r="124" spans="1:4" x14ac:dyDescent="0.2">
      <c r="A124" s="5">
        <v>63</v>
      </c>
      <c r="B124" s="138">
        <f>'Assets-Liab 5-6'!D41</f>
        <v>791683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35460</v>
      </c>
      <c r="D129" s="2" t="str">
        <f t="shared" si="1"/>
        <v>Error?</v>
      </c>
    </row>
    <row r="130" spans="1:4" x14ac:dyDescent="0.2">
      <c r="A130" s="5">
        <v>69</v>
      </c>
      <c r="B130" s="138">
        <f>'Assets-Liab 5-6'!E12</f>
        <v>0</v>
      </c>
      <c r="D130" s="2" t="str">
        <f t="shared" si="1"/>
        <v>Error?</v>
      </c>
    </row>
    <row r="131" spans="1:4" x14ac:dyDescent="0.2">
      <c r="A131" s="5">
        <v>70</v>
      </c>
      <c r="B131" s="138">
        <f>'Assets-Liab 5-6'!E13</f>
        <v>35460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35460</v>
      </c>
      <c r="D140" s="2" t="str">
        <f t="shared" si="1"/>
        <v>Error?</v>
      </c>
    </row>
    <row r="141" spans="1:4" x14ac:dyDescent="0.2">
      <c r="A141" s="5">
        <v>80</v>
      </c>
      <c r="B141" s="138">
        <f>'Assets-Liab 5-6'!E41</f>
        <v>35460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311507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331679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331679</v>
      </c>
      <c r="D170" s="2" t="str">
        <f t="shared" si="1"/>
        <v>Error?</v>
      </c>
    </row>
    <row r="171" spans="1:4" x14ac:dyDescent="0.2">
      <c r="A171" s="5">
        <v>110</v>
      </c>
      <c r="B171" s="138">
        <f>'Assets-Liab 5-6'!F41</f>
        <v>331679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189914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253434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190673</v>
      </c>
      <c r="D189" s="2" t="str">
        <f t="shared" si="1"/>
        <v>Error?</v>
      </c>
    </row>
    <row r="190" spans="1:4" x14ac:dyDescent="0.2">
      <c r="A190" s="5">
        <v>129</v>
      </c>
      <c r="B190" s="138">
        <f>'Assets-Liab 5-6'!G41</f>
        <v>253434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26121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31187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31187</v>
      </c>
      <c r="D212" s="2" t="str">
        <f t="shared" si="2"/>
        <v>Error?</v>
      </c>
    </row>
    <row r="213" spans="1:4" x14ac:dyDescent="0.2">
      <c r="A213" s="12">
        <v>152</v>
      </c>
      <c r="B213" s="138">
        <f>'Assets-Liab 5-6'!H41</f>
        <v>31187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3498102</v>
      </c>
      <c r="D273" s="2" t="str">
        <f t="shared" si="3"/>
        <v>Error?</v>
      </c>
    </row>
    <row r="274" spans="1:4" x14ac:dyDescent="0.2">
      <c r="A274" s="5">
        <v>213</v>
      </c>
      <c r="B274" s="138">
        <f>'Assets-Liab 5-6'!M17</f>
        <v>31975043</v>
      </c>
      <c r="D274" s="2" t="str">
        <f t="shared" si="3"/>
        <v>Error?</v>
      </c>
    </row>
    <row r="275" spans="1:4" x14ac:dyDescent="0.2">
      <c r="A275" s="5">
        <v>214</v>
      </c>
      <c r="B275" s="138">
        <f>'Assets-Liab 5-6'!M18</f>
        <v>2223096</v>
      </c>
      <c r="D275" s="2" t="str">
        <f t="shared" si="3"/>
        <v>Error?</v>
      </c>
    </row>
    <row r="276" spans="1:4" x14ac:dyDescent="0.2">
      <c r="A276" s="5">
        <v>215</v>
      </c>
      <c r="B276" s="138">
        <f>'Assets-Liab 5-6'!M19</f>
        <v>2803591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40543073</v>
      </c>
      <c r="C279" s="2" t="s">
        <v>573</v>
      </c>
      <c r="D279" s="2" t="str">
        <f t="shared" si="3"/>
        <v>Error?</v>
      </c>
    </row>
    <row r="280" spans="1:4" x14ac:dyDescent="0.2">
      <c r="A280" s="5">
        <v>219</v>
      </c>
      <c r="B280" s="138">
        <f>'Assets-Liab 5-6'!M40</f>
        <v>40543073</v>
      </c>
      <c r="D280" s="2" t="str">
        <f t="shared" si="3"/>
        <v>Error?</v>
      </c>
    </row>
    <row r="281" spans="1:4" x14ac:dyDescent="0.2">
      <c r="A281" s="5">
        <v>220</v>
      </c>
      <c r="B281" s="138">
        <f>'Assets-Liab 5-6'!M41</f>
        <v>40543073</v>
      </c>
      <c r="C281" s="2" t="s">
        <v>573</v>
      </c>
      <c r="D281" s="2" t="str">
        <f t="shared" si="3"/>
        <v>Error?</v>
      </c>
    </row>
    <row r="282" spans="1:4" x14ac:dyDescent="0.2">
      <c r="A282" s="5">
        <v>221</v>
      </c>
      <c r="B282" s="138">
        <f>'Assets-Liab 5-6'!N21</f>
        <v>35460</v>
      </c>
      <c r="D282" s="2" t="str">
        <f t="shared" si="3"/>
        <v>Error?</v>
      </c>
    </row>
    <row r="283" spans="1:4" x14ac:dyDescent="0.2">
      <c r="A283" s="5">
        <v>222</v>
      </c>
      <c r="B283" s="138">
        <f>'Assets-Liab 5-6'!N22</f>
        <v>-35460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2420119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108847</v>
      </c>
      <c r="D718" s="2" t="str">
        <f t="shared" si="10"/>
        <v>Error?</v>
      </c>
    </row>
    <row r="719" spans="1:4" x14ac:dyDescent="0.2">
      <c r="A719" s="5">
        <v>658</v>
      </c>
      <c r="B719" s="138">
        <f>'Expenditures 15-22'!C15</f>
        <v>12273</v>
      </c>
      <c r="D719" s="2" t="str">
        <f t="shared" si="10"/>
        <v>Error?</v>
      </c>
    </row>
    <row r="720" spans="1:4" x14ac:dyDescent="0.2">
      <c r="A720" s="5">
        <v>659</v>
      </c>
      <c r="B720" s="138">
        <f>'Expenditures 15-22'!C33</f>
        <v>3583065</v>
      </c>
      <c r="C720" s="2" t="s">
        <v>573</v>
      </c>
      <c r="D720" s="2" t="str">
        <f t="shared" si="10"/>
        <v>Error?</v>
      </c>
    </row>
    <row r="721" spans="1:4" x14ac:dyDescent="0.2">
      <c r="A721" s="5">
        <v>660</v>
      </c>
      <c r="B721" s="138">
        <f>'Expenditures 15-22'!C36</f>
        <v>47574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58859</v>
      </c>
      <c r="D723" s="2" t="str">
        <f t="shared" si="10"/>
        <v>Error?</v>
      </c>
    </row>
    <row r="724" spans="1:4" x14ac:dyDescent="0.2">
      <c r="A724" s="5">
        <v>663</v>
      </c>
      <c r="B724" s="138">
        <f>'Expenditures 15-22'!C39</f>
        <v>71931</v>
      </c>
      <c r="D724" s="2" t="str">
        <f t="shared" si="10"/>
        <v>Error?</v>
      </c>
    </row>
    <row r="725" spans="1:4" x14ac:dyDescent="0.2">
      <c r="A725" s="5">
        <v>664</v>
      </c>
      <c r="B725" s="138">
        <f>'Expenditures 15-22'!C40</f>
        <v>63619</v>
      </c>
      <c r="D725" s="2" t="str">
        <f t="shared" si="10"/>
        <v>Error?</v>
      </c>
    </row>
    <row r="726" spans="1:4" x14ac:dyDescent="0.2">
      <c r="A726" s="5">
        <v>665</v>
      </c>
      <c r="B726" s="138">
        <f>'Expenditures 15-22'!C41</f>
        <v>29790</v>
      </c>
      <c r="D726" s="2" t="str">
        <f t="shared" si="10"/>
        <v>Error?</v>
      </c>
    </row>
    <row r="727" spans="1:4" x14ac:dyDescent="0.2">
      <c r="A727" s="5">
        <v>666</v>
      </c>
      <c r="B727" s="138">
        <f>'Expenditures 15-22'!C42</f>
        <v>271773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93132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93132</v>
      </c>
      <c r="C731" s="2" t="s">
        <v>573</v>
      </c>
      <c r="D731" s="2" t="str">
        <f t="shared" si="10"/>
        <v>Error?</v>
      </c>
    </row>
    <row r="732" spans="1:4" x14ac:dyDescent="0.2">
      <c r="A732" s="5">
        <v>671</v>
      </c>
      <c r="B732" s="138">
        <f>'Expenditures 15-22'!C49</f>
        <v>46920</v>
      </c>
      <c r="D732" s="2" t="str">
        <f t="shared" si="10"/>
        <v>Error?</v>
      </c>
    </row>
    <row r="733" spans="1:4" x14ac:dyDescent="0.2">
      <c r="A733" s="5">
        <v>672</v>
      </c>
      <c r="B733" s="138">
        <f>'Expenditures 15-22'!C50</f>
        <v>129937</v>
      </c>
      <c r="D733" s="2" t="str">
        <f t="shared" si="10"/>
        <v>Error?</v>
      </c>
    </row>
    <row r="734" spans="1:4" x14ac:dyDescent="0.2">
      <c r="A734" s="5">
        <v>673</v>
      </c>
      <c r="B734" s="138">
        <f>'Expenditures 15-22'!C53</f>
        <v>176857</v>
      </c>
      <c r="C734" s="2" t="s">
        <v>573</v>
      </c>
      <c r="D734" s="2" t="str">
        <f t="shared" si="10"/>
        <v>Error?</v>
      </c>
    </row>
    <row r="735" spans="1:4" x14ac:dyDescent="0.2">
      <c r="A735" s="5">
        <v>674</v>
      </c>
      <c r="B735" s="138">
        <f>'Expenditures 15-22'!C55</f>
        <v>232351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232351</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72100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124736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196836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970949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4554014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607114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15230</v>
      </c>
      <c r="D776" s="2" t="str">
        <f t="shared" si="11"/>
        <v>Error?</v>
      </c>
    </row>
    <row r="777" spans="1:4" x14ac:dyDescent="0.2">
      <c r="A777" s="5">
        <v>716</v>
      </c>
      <c r="B777" s="138">
        <f>'Expenditures 15-22'!D15</f>
        <v>1326</v>
      </c>
      <c r="D777" s="2" t="str">
        <f t="shared" si="11"/>
        <v>Error?</v>
      </c>
    </row>
    <row r="778" spans="1:4" x14ac:dyDescent="0.2">
      <c r="A778" s="5">
        <v>717</v>
      </c>
      <c r="B778" s="138">
        <f>'Expenditures 15-22'!D33</f>
        <v>868026</v>
      </c>
      <c r="C778" s="2" t="s">
        <v>573</v>
      </c>
      <c r="D778" s="2" t="str">
        <f t="shared" si="11"/>
        <v>Error?</v>
      </c>
    </row>
    <row r="779" spans="1:4" x14ac:dyDescent="0.2">
      <c r="A779" s="5">
        <v>718</v>
      </c>
      <c r="B779" s="138">
        <f>'Expenditures 15-22'!D36</f>
        <v>5235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9510</v>
      </c>
      <c r="D781" s="2" t="str">
        <f t="shared" si="11"/>
        <v>Error?</v>
      </c>
    </row>
    <row r="782" spans="1:4" x14ac:dyDescent="0.2">
      <c r="A782" s="5">
        <v>721</v>
      </c>
      <c r="B782" s="138">
        <f>'Expenditures 15-22'!D39</f>
        <v>18082</v>
      </c>
      <c r="D782" s="2" t="str">
        <f t="shared" si="11"/>
        <v>Error?</v>
      </c>
    </row>
    <row r="783" spans="1:4" x14ac:dyDescent="0.2">
      <c r="A783" s="5">
        <v>722</v>
      </c>
      <c r="B783" s="138">
        <f>'Expenditures 15-22'!D40</f>
        <v>11095</v>
      </c>
      <c r="D783" s="2" t="str">
        <f t="shared" si="11"/>
        <v>Error?</v>
      </c>
    </row>
    <row r="784" spans="1:4" x14ac:dyDescent="0.2">
      <c r="A784" s="5">
        <v>723</v>
      </c>
      <c r="B784" s="138">
        <f>'Expenditures 15-22'!D41</f>
        <v>6909</v>
      </c>
      <c r="D784" s="2" t="str">
        <f t="shared" si="11"/>
        <v>Error?</v>
      </c>
    </row>
    <row r="785" spans="1:4" x14ac:dyDescent="0.2">
      <c r="A785" s="5">
        <v>724</v>
      </c>
      <c r="B785" s="138">
        <f>'Expenditures 15-22'!D42</f>
        <v>50831</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7498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7498</v>
      </c>
      <c r="C789" s="2" t="s">
        <v>573</v>
      </c>
      <c r="D789" s="2" t="str">
        <f t="shared" si="11"/>
        <v>Error?</v>
      </c>
    </row>
    <row r="790" spans="1:4" x14ac:dyDescent="0.2">
      <c r="A790" s="5">
        <v>729</v>
      </c>
      <c r="B790" s="138">
        <f>'Expenditures 15-22'!D49</f>
        <v>8214</v>
      </c>
      <c r="D790" s="2" t="str">
        <f t="shared" si="11"/>
        <v>Error?</v>
      </c>
    </row>
    <row r="791" spans="1:4" x14ac:dyDescent="0.2">
      <c r="A791" s="5">
        <v>730</v>
      </c>
      <c r="B791" s="138">
        <f>'Expenditures 15-22'!D50</f>
        <v>62917</v>
      </c>
      <c r="D791" s="2" t="str">
        <f t="shared" si="11"/>
        <v>Error?</v>
      </c>
    </row>
    <row r="792" spans="1:4" x14ac:dyDescent="0.2">
      <c r="A792" s="5">
        <v>731</v>
      </c>
      <c r="B792" s="138">
        <f>'Expenditures 15-22'!D53</f>
        <v>71131</v>
      </c>
      <c r="C792" s="2" t="s">
        <v>573</v>
      </c>
      <c r="D792" s="2" t="str">
        <f t="shared" si="11"/>
        <v>Error?</v>
      </c>
    </row>
    <row r="793" spans="1:4" x14ac:dyDescent="0.2">
      <c r="A793" s="5">
        <v>732</v>
      </c>
      <c r="B793" s="138">
        <f>'Expenditures 15-22'!D55</f>
        <v>88422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88422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6162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1861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8023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225905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1093931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6564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15080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69204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298</v>
      </c>
      <c r="D841" s="2" t="str">
        <f t="shared" si="12"/>
        <v>Error?</v>
      </c>
    </row>
    <row r="842" spans="1:4" x14ac:dyDescent="0.2">
      <c r="A842" s="5">
        <v>781</v>
      </c>
      <c r="B842" s="138">
        <f>'Expenditures 15-22'!E41</f>
        <v>44707</v>
      </c>
      <c r="D842" s="2" t="str">
        <f t="shared" si="12"/>
        <v>Error?</v>
      </c>
    </row>
    <row r="843" spans="1:4" x14ac:dyDescent="0.2">
      <c r="A843" s="5">
        <v>782</v>
      </c>
      <c r="B843" s="138">
        <f>'Expenditures 15-22'!E42</f>
        <v>45155</v>
      </c>
      <c r="C843" s="2" t="s">
        <v>573</v>
      </c>
      <c r="D843" s="2" t="str">
        <f t="shared" si="12"/>
        <v>Error?</v>
      </c>
    </row>
    <row r="844" spans="1:4" x14ac:dyDescent="0.2">
      <c r="A844" s="5">
        <v>783</v>
      </c>
      <c r="B844" s="138">
        <f>'Expenditures 15-22'!E44</f>
        <v>6876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6876</v>
      </c>
      <c r="C847" s="2" t="s">
        <v>573</v>
      </c>
      <c r="D847" s="2" t="str">
        <f t="shared" si="12"/>
        <v>Error?</v>
      </c>
    </row>
    <row r="848" spans="1:4" x14ac:dyDescent="0.2">
      <c r="A848" s="5">
        <v>787</v>
      </c>
      <c r="B848" s="138">
        <f>'Expenditures 15-22'!E49</f>
        <v>129340</v>
      </c>
      <c r="D848" s="2" t="str">
        <f t="shared" si="12"/>
        <v>Error?</v>
      </c>
    </row>
    <row r="849" spans="1:4" x14ac:dyDescent="0.2">
      <c r="A849" s="5">
        <v>788</v>
      </c>
      <c r="B849" s="138">
        <f>'Expenditures 15-22'!E50</f>
        <v>446</v>
      </c>
      <c r="D849" s="2" t="str">
        <f t="shared" si="12"/>
        <v>Error?</v>
      </c>
    </row>
    <row r="850" spans="1:4" x14ac:dyDescent="0.2">
      <c r="A850" s="5">
        <v>789</v>
      </c>
      <c r="B850" s="138">
        <f>'Expenditures 15-22'!E53</f>
        <v>129786</v>
      </c>
      <c r="C850" s="2" t="s">
        <v>573</v>
      </c>
      <c r="D850" s="2" t="str">
        <f t="shared" si="12"/>
        <v>Error?</v>
      </c>
    </row>
    <row r="851" spans="1:4" x14ac:dyDescent="0.2">
      <c r="A851" s="5">
        <v>790</v>
      </c>
      <c r="B851" s="138">
        <f>'Expenditures 15-22'!E55</f>
        <v>15804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15804</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197710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318964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124634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18741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146171</v>
      </c>
      <c r="C894" s="2" t="s">
        <v>573</v>
      </c>
      <c r="D894" s="2" t="str">
        <f t="shared" si="12"/>
        <v>Error?</v>
      </c>
    </row>
    <row r="895" spans="1:4" x14ac:dyDescent="0.2">
      <c r="A895" s="5">
        <v>834</v>
      </c>
      <c r="B895" s="138">
        <f>'Expenditures 15-22'!F36</f>
        <v>213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905</v>
      </c>
      <c r="D897" s="2" t="str">
        <f t="shared" si="13"/>
        <v>Error?</v>
      </c>
    </row>
    <row r="898" spans="1:4" x14ac:dyDescent="0.2">
      <c r="A898" s="5">
        <v>837</v>
      </c>
      <c r="B898" s="138">
        <f>'Expenditures 15-22'!F39</f>
        <v>1043</v>
      </c>
      <c r="D898" s="2" t="str">
        <f t="shared" si="13"/>
        <v>Error?</v>
      </c>
    </row>
    <row r="899" spans="1:4" x14ac:dyDescent="0.2">
      <c r="A899" s="5">
        <v>838</v>
      </c>
      <c r="B899" s="138">
        <f>'Expenditures 15-22'!F40</f>
        <v>1242</v>
      </c>
      <c r="D899" s="2" t="str">
        <f t="shared" si="13"/>
        <v>Error?</v>
      </c>
    </row>
    <row r="900" spans="1:4" x14ac:dyDescent="0.2">
      <c r="A900" s="5">
        <v>839</v>
      </c>
      <c r="B900" s="138">
        <f>'Expenditures 15-22'!F41</f>
        <v>80856</v>
      </c>
      <c r="D900" s="2" t="str">
        <f t="shared" si="13"/>
        <v>Error?</v>
      </c>
    </row>
    <row r="901" spans="1:4" x14ac:dyDescent="0.2">
      <c r="A901" s="5">
        <v>840</v>
      </c>
      <c r="B901" s="138">
        <f>'Expenditures 15-22'!F42</f>
        <v>84259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16099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16099</v>
      </c>
      <c r="C905" s="2" t="s">
        <v>573</v>
      </c>
      <c r="D905" s="2" t="str">
        <f t="shared" si="13"/>
        <v>Error?</v>
      </c>
    </row>
    <row r="906" spans="1:4" x14ac:dyDescent="0.2">
      <c r="A906" s="5">
        <v>845</v>
      </c>
      <c r="B906" s="138">
        <f>'Expenditures 15-22'!F49</f>
        <v>15311</v>
      </c>
      <c r="D906" s="2" t="str">
        <f t="shared" si="13"/>
        <v>Error?</v>
      </c>
    </row>
    <row r="907" spans="1:4" x14ac:dyDescent="0.2">
      <c r="A907" s="5">
        <v>846</v>
      </c>
      <c r="B907" s="138">
        <f>'Expenditures 15-22'!F50</f>
        <v>1208</v>
      </c>
      <c r="D907" s="2" t="str">
        <f t="shared" si="13"/>
        <v>Error?</v>
      </c>
    </row>
    <row r="908" spans="1:4" x14ac:dyDescent="0.2">
      <c r="A908" s="5">
        <v>847</v>
      </c>
      <c r="B908" s="138">
        <f>'Expenditures 15-22'!F53</f>
        <v>16519</v>
      </c>
      <c r="C908" s="2" t="s">
        <v>573</v>
      </c>
      <c r="D908" s="2" t="str">
        <f t="shared" si="13"/>
        <v>Error?</v>
      </c>
    </row>
    <row r="909" spans="1:4" x14ac:dyDescent="0.2">
      <c r="A909" s="5">
        <v>848</v>
      </c>
      <c r="B909" s="138">
        <f>'Expenditures 15-22'!F55</f>
        <v>521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521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8881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84484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93365</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210763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356934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13685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9990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23675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144689</v>
      </c>
      <c r="D958" s="2" t="str">
        <f t="shared" si="13"/>
        <v>Error?</v>
      </c>
    </row>
    <row r="959" spans="1:4" x14ac:dyDescent="0.2">
      <c r="A959" s="5">
        <v>898</v>
      </c>
      <c r="B959" s="138">
        <f>'Expenditures 15-22'!G42</f>
        <v>144689</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144689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168364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4507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38375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10246</v>
      </c>
      <c r="D1022" s="2" t="str">
        <f t="shared" si="14"/>
        <v>Error?</v>
      </c>
    </row>
    <row r="1023" spans="1:4" x14ac:dyDescent="0.2">
      <c r="A1023" s="5">
        <v>962</v>
      </c>
      <c r="B1023" s="138">
        <f>'Expenditures 15-22'!H50</f>
        <v>2872</v>
      </c>
      <c r="D1023" s="2" t="str">
        <f t="shared" ref="D1023:D1086" si="15">IF(ISBLANK(B1023),"OK",IF(A1023-B1023=0,"OK","Error?"))</f>
        <v>Error?</v>
      </c>
    </row>
    <row r="1024" spans="1:4" x14ac:dyDescent="0.2">
      <c r="A1024" s="5">
        <v>963</v>
      </c>
      <c r="B1024" s="138">
        <f>'Expenditures 15-22'!H53</f>
        <v>13118</v>
      </c>
      <c r="C1024" s="2" t="s">
        <v>573</v>
      </c>
      <c r="D1024" s="2" t="str">
        <f t="shared" si="15"/>
        <v>Error?</v>
      </c>
    </row>
    <row r="1025" spans="1:4" x14ac:dyDescent="0.2">
      <c r="A1025" s="5">
        <v>964</v>
      </c>
      <c r="B1025" s="138">
        <f>'Expenditures 15-22'!H55</f>
        <v>790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394</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394</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14302</v>
      </c>
      <c r="C1045" s="2" t="s">
        <v>573</v>
      </c>
      <c r="D1045" s="2" t="str">
        <f t="shared" si="15"/>
        <v>Error?</v>
      </c>
    </row>
    <row r="1046" spans="1:4" x14ac:dyDescent="0.2">
      <c r="A1046" s="5">
        <v>985</v>
      </c>
      <c r="B1046" s="138">
        <f>'Expenditures 15-22'!H75</f>
        <v>1540</v>
      </c>
      <c r="D1046" s="2" t="str">
        <f t="shared" si="15"/>
        <v>Error?</v>
      </c>
    </row>
    <row r="1047" spans="1:4" x14ac:dyDescent="0.2">
      <c r="A1047" s="5">
        <v>986</v>
      </c>
      <c r="B1047" s="138">
        <f>'Expenditures 15-22'!H102</f>
        <v>34240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88457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3172116</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172395</v>
      </c>
      <c r="C1106" s="2" t="s">
        <v>573</v>
      </c>
      <c r="D1106" s="2" t="str">
        <f t="shared" si="16"/>
        <v>Error?</v>
      </c>
    </row>
    <row r="1107" spans="1:4" x14ac:dyDescent="0.2">
      <c r="A1107" s="5">
        <v>1046</v>
      </c>
      <c r="B1107" s="138">
        <f>'Expenditures 15-22'!K15</f>
        <v>13599</v>
      </c>
      <c r="C1107" s="2" t="s">
        <v>573</v>
      </c>
      <c r="D1107" s="2" t="str">
        <f t="shared" si="16"/>
        <v>Error?</v>
      </c>
    </row>
    <row r="1108" spans="1:4" x14ac:dyDescent="0.2">
      <c r="A1108" s="5">
        <v>1047</v>
      </c>
      <c r="B1108" s="138">
        <f>'Expenditures 15-22'!K33</f>
        <v>4728516</v>
      </c>
      <c r="C1108" s="2" t="s">
        <v>573</v>
      </c>
      <c r="D1108" s="2" t="str">
        <f t="shared" si="16"/>
        <v>Error?</v>
      </c>
    </row>
    <row r="1109" spans="1:4" x14ac:dyDescent="0.2">
      <c r="A1109" s="5">
        <v>1048</v>
      </c>
      <c r="B1109" s="138">
        <f>'Expenditures 15-22'!K36</f>
        <v>53022</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69424</v>
      </c>
      <c r="C1111" s="2" t="s">
        <v>573</v>
      </c>
      <c r="D1111" s="2" t="str">
        <f t="shared" si="16"/>
        <v>Error?</v>
      </c>
    </row>
    <row r="1112" spans="1:4" x14ac:dyDescent="0.2">
      <c r="A1112" s="5">
        <v>1051</v>
      </c>
      <c r="B1112" s="138">
        <f>'Expenditures 15-22'!K39</f>
        <v>91056</v>
      </c>
      <c r="C1112" s="2" t="s">
        <v>573</v>
      </c>
      <c r="D1112" s="2" t="str">
        <f t="shared" si="16"/>
        <v>Error?</v>
      </c>
    </row>
    <row r="1113" spans="1:4" x14ac:dyDescent="0.2">
      <c r="A1113" s="5">
        <v>1052</v>
      </c>
      <c r="B1113" s="138">
        <f>'Expenditures 15-22'!K40</f>
        <v>76254</v>
      </c>
      <c r="C1113" s="2" t="s">
        <v>573</v>
      </c>
      <c r="D1113" s="2" t="str">
        <f t="shared" si="16"/>
        <v>Error?</v>
      </c>
    </row>
    <row r="1114" spans="1:4" x14ac:dyDescent="0.2">
      <c r="A1114" s="5">
        <v>1053</v>
      </c>
      <c r="B1114" s="138">
        <f>'Expenditures 15-22'!K41</f>
        <v>306951</v>
      </c>
      <c r="C1114" s="2" t="s">
        <v>573</v>
      </c>
      <c r="D1114" s="2" t="str">
        <f t="shared" si="16"/>
        <v>Error?</v>
      </c>
    </row>
    <row r="1115" spans="1:4" x14ac:dyDescent="0.2">
      <c r="A1115" s="5">
        <v>1054</v>
      </c>
      <c r="B1115" s="138">
        <f>'Expenditures 15-22'!K42</f>
        <v>596707</v>
      </c>
      <c r="C1115" s="2" t="s">
        <v>573</v>
      </c>
      <c r="D1115" s="2" t="str">
        <f t="shared" si="16"/>
        <v>Error?</v>
      </c>
    </row>
    <row r="1116" spans="1:4" x14ac:dyDescent="0.2">
      <c r="A1116" s="5">
        <v>1055</v>
      </c>
      <c r="B1116" s="138">
        <f>'Expenditures 15-22'!K44</f>
        <v>6876</v>
      </c>
      <c r="C1116" s="2" t="s">
        <v>573</v>
      </c>
      <c r="D1116" s="2" t="str">
        <f t="shared" si="16"/>
        <v>Error?</v>
      </c>
    </row>
    <row r="1117" spans="1:4" x14ac:dyDescent="0.2">
      <c r="A1117" s="5">
        <v>1056</v>
      </c>
      <c r="B1117" s="138">
        <f>'Expenditures 15-22'!K45</f>
        <v>116729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123605</v>
      </c>
      <c r="C1119" s="2" t="s">
        <v>573</v>
      </c>
      <c r="D1119" s="2" t="str">
        <f t="shared" si="16"/>
        <v>Error?</v>
      </c>
    </row>
    <row r="1120" spans="1:4" x14ac:dyDescent="0.2">
      <c r="A1120" s="5">
        <v>1059</v>
      </c>
      <c r="B1120" s="138">
        <f>'Expenditures 15-22'!K49</f>
        <v>210031</v>
      </c>
      <c r="C1120" s="2" t="s">
        <v>573</v>
      </c>
      <c r="D1120" s="2" t="str">
        <f t="shared" si="16"/>
        <v>Error?</v>
      </c>
    </row>
    <row r="1121" spans="1:4" x14ac:dyDescent="0.2">
      <c r="A1121" s="5">
        <v>1060</v>
      </c>
      <c r="B1121" s="138">
        <f>'Expenditures 15-22'!K50</f>
        <v>197380</v>
      </c>
      <c r="C1121" s="2" t="s">
        <v>573</v>
      </c>
      <c r="D1121" s="2" t="str">
        <f t="shared" si="16"/>
        <v>Error?</v>
      </c>
    </row>
    <row r="1122" spans="1:4" x14ac:dyDescent="0.2">
      <c r="A1122" s="5">
        <v>1061</v>
      </c>
      <c r="B1122" s="138">
        <f>'Expenditures 15-22'!K53</f>
        <v>407411</v>
      </c>
      <c r="C1122" s="2" t="s">
        <v>573</v>
      </c>
      <c r="D1122" s="2" t="str">
        <f t="shared" si="16"/>
        <v>Error?</v>
      </c>
    </row>
    <row r="1123" spans="1:4" x14ac:dyDescent="0.2">
      <c r="A1123" s="5">
        <v>1062</v>
      </c>
      <c r="B1123" s="138">
        <f>'Expenditures 15-22'!K55</f>
        <v>337888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337888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87626</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211081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298707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1764318</v>
      </c>
      <c r="C1143" s="2" t="s">
        <v>573</v>
      </c>
      <c r="D1143" s="2" t="str">
        <f t="shared" si="16"/>
        <v>Error?</v>
      </c>
    </row>
    <row r="1144" spans="1:4" x14ac:dyDescent="0.2">
      <c r="A1144" s="5">
        <v>1083</v>
      </c>
      <c r="B1144" s="138">
        <f>'Expenditures 15-22'!K75</f>
        <v>1540</v>
      </c>
      <c r="C1144" s="2" t="s">
        <v>573</v>
      </c>
      <c r="D1144" s="2" t="str">
        <f t="shared" si="16"/>
        <v>Error?</v>
      </c>
    </row>
    <row r="1145" spans="1:4" x14ac:dyDescent="0.2">
      <c r="A1145" s="5">
        <v>1084</v>
      </c>
      <c r="B1145" s="138">
        <f>'Expenditures 15-22'!K102</f>
        <v>86290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6580664</v>
      </c>
      <c r="C1152" s="2" t="s">
        <v>573</v>
      </c>
      <c r="D1152" s="2" t="str">
        <f t="shared" si="17"/>
        <v>Error?</v>
      </c>
    </row>
    <row r="1153" spans="1:4" x14ac:dyDescent="0.2">
      <c r="A1153" s="5">
        <v>1092</v>
      </c>
      <c r="B1153" s="138">
        <f>'Expenditures 15-22'!K115</f>
        <v>184076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328154</v>
      </c>
      <c r="D1221" s="2" t="str">
        <f t="shared" si="18"/>
        <v>Error?</v>
      </c>
    </row>
    <row r="1222" spans="1:4" x14ac:dyDescent="0.2">
      <c r="A1222" s="10">
        <v>1161</v>
      </c>
      <c r="D1222" s="2" t="str">
        <f t="shared" si="18"/>
        <v>OK</v>
      </c>
    </row>
    <row r="1223" spans="1:4" x14ac:dyDescent="0.2">
      <c r="A1223" s="5">
        <v>1162</v>
      </c>
      <c r="B1223" s="138">
        <f>'Expenditures 15-22'!C127</f>
        <v>328154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402354</v>
      </c>
      <c r="C1225" s="2" t="s">
        <v>573</v>
      </c>
      <c r="D1225" s="2" t="str">
        <f t="shared" si="18"/>
        <v>Error?</v>
      </c>
    </row>
    <row r="1226" spans="1:4" x14ac:dyDescent="0.2">
      <c r="A1226" s="5">
        <v>1165</v>
      </c>
      <c r="B1226" s="138">
        <f>'Expenditures 15-22'!C151</f>
        <v>402354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64334</v>
      </c>
      <c r="D1229" s="2" t="str">
        <f t="shared" si="18"/>
        <v>Error?</v>
      </c>
    </row>
    <row r="1230" spans="1:4" x14ac:dyDescent="0.2">
      <c r="A1230" s="10">
        <v>1169</v>
      </c>
      <c r="D1230" s="2" t="str">
        <f t="shared" si="18"/>
        <v>OK</v>
      </c>
    </row>
    <row r="1231" spans="1:4" x14ac:dyDescent="0.2">
      <c r="A1231" s="5">
        <v>1170</v>
      </c>
      <c r="B1231" s="138">
        <f>'Expenditures 15-22'!D127</f>
        <v>64334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73812</v>
      </c>
      <c r="C1233" s="2" t="s">
        <v>573</v>
      </c>
      <c r="D1233" s="2" t="str">
        <f t="shared" si="18"/>
        <v>Error?</v>
      </c>
    </row>
    <row r="1234" spans="1:4" x14ac:dyDescent="0.2">
      <c r="A1234" s="5">
        <v>1173</v>
      </c>
      <c r="B1234" s="138">
        <f>'Expenditures 15-22'!D151</f>
        <v>73812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3423</v>
      </c>
      <c r="D1236" s="2" t="str">
        <f t="shared" si="18"/>
        <v>Error?</v>
      </c>
    </row>
    <row r="1237" spans="1:4" x14ac:dyDescent="0.2">
      <c r="A1237" s="5">
        <v>1176</v>
      </c>
      <c r="B1237" s="138">
        <f>'Expenditures 15-22'!E124</f>
        <v>136884</v>
      </c>
      <c r="D1237" s="2" t="str">
        <f t="shared" si="18"/>
        <v>Error?</v>
      </c>
    </row>
    <row r="1238" spans="1:4" x14ac:dyDescent="0.2">
      <c r="A1238" s="10">
        <v>1177</v>
      </c>
      <c r="D1238" s="2" t="str">
        <f t="shared" si="18"/>
        <v>OK</v>
      </c>
    </row>
    <row r="1239" spans="1:4" x14ac:dyDescent="0.2">
      <c r="A1239" s="5">
        <v>1178</v>
      </c>
      <c r="B1239" s="138">
        <f>'Expenditures 15-22'!E127</f>
        <v>140307</v>
      </c>
      <c r="C1239" s="2" t="s">
        <v>573</v>
      </c>
      <c r="D1239" s="2" t="str">
        <f t="shared" si="18"/>
        <v>Error?</v>
      </c>
    </row>
    <row r="1240" spans="1:4" x14ac:dyDescent="0.2">
      <c r="A1240" s="5">
        <v>1179</v>
      </c>
      <c r="B1240" s="138">
        <f>'Expenditures 15-22'!E128</f>
        <v>17972</v>
      </c>
      <c r="D1240" s="2" t="str">
        <f t="shared" si="18"/>
        <v>Error?</v>
      </c>
    </row>
    <row r="1241" spans="1:4" x14ac:dyDescent="0.2">
      <c r="A1241" s="5">
        <v>1180</v>
      </c>
      <c r="B1241" s="138">
        <f>'Expenditures 15-22'!E129</f>
        <v>158318</v>
      </c>
      <c r="C1241" s="2" t="s">
        <v>573</v>
      </c>
      <c r="D1241" s="2" t="str">
        <f t="shared" si="18"/>
        <v>Error?</v>
      </c>
    </row>
    <row r="1242" spans="1:4" x14ac:dyDescent="0.2">
      <c r="A1242" s="5">
        <v>1181</v>
      </c>
      <c r="B1242" s="138">
        <f>'Expenditures 15-22'!E151</f>
        <v>158318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231201</v>
      </c>
      <c r="D1245" s="2" t="str">
        <f t="shared" si="18"/>
        <v>Error?</v>
      </c>
    </row>
    <row r="1246" spans="1:4" x14ac:dyDescent="0.2">
      <c r="A1246" s="10">
        <v>1185</v>
      </c>
      <c r="D1246" s="2" t="str">
        <f t="shared" si="18"/>
        <v>OK</v>
      </c>
    </row>
    <row r="1247" spans="1:4" x14ac:dyDescent="0.2">
      <c r="A1247" s="5">
        <v>1186</v>
      </c>
      <c r="B1247" s="138">
        <f>'Expenditures 15-22'!F127</f>
        <v>231201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235617</v>
      </c>
      <c r="C1249" s="2" t="s">
        <v>573</v>
      </c>
      <c r="D1249" s="2" t="str">
        <f t="shared" si="18"/>
        <v>Error?</v>
      </c>
    </row>
    <row r="1250" spans="1:4" x14ac:dyDescent="0.2">
      <c r="A1250" s="5">
        <v>1189</v>
      </c>
      <c r="B1250" s="138">
        <f>'Expenditures 15-22'!F151</f>
        <v>235617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5000</v>
      </c>
      <c r="D1252" s="2" t="str">
        <f t="shared" si="18"/>
        <v>Error?</v>
      </c>
    </row>
    <row r="1253" spans="1:4" x14ac:dyDescent="0.2">
      <c r="A1253" s="5">
        <v>1192</v>
      </c>
      <c r="B1253" s="138">
        <f>'Expenditures 15-22'!G124</f>
        <v>108907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113907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128907</v>
      </c>
      <c r="C1258" s="2" t="s">
        <v>573</v>
      </c>
      <c r="D1258" s="2" t="str">
        <f t="shared" si="18"/>
        <v>Error?</v>
      </c>
    </row>
    <row r="1259" spans="1:4" x14ac:dyDescent="0.2">
      <c r="A1259" s="5">
        <v>1198</v>
      </c>
      <c r="B1259" s="138">
        <f>'Expenditures 15-22'!G151</f>
        <v>128907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8018</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8018</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8018</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8018</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16441</v>
      </c>
      <c r="C1275" s="2" t="s">
        <v>573</v>
      </c>
      <c r="D1275" s="2" t="str">
        <f t="shared" si="18"/>
        <v>Error?</v>
      </c>
    </row>
    <row r="1276" spans="1:4" x14ac:dyDescent="0.2">
      <c r="A1276" s="5">
        <v>1215</v>
      </c>
      <c r="B1276" s="138">
        <f>'Expenditures 15-22'!K124</f>
        <v>869480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885921</v>
      </c>
      <c r="C1279" s="2" t="s">
        <v>573</v>
      </c>
      <c r="D1279" s="2" t="str">
        <f t="shared" ref="D1279:D1342" si="19">IF(ISBLANK(B1279),"OK",IF(A1279-B1279=0,"OK","Error?"))</f>
        <v>Error?</v>
      </c>
    </row>
    <row r="1280" spans="1:4" x14ac:dyDescent="0.2">
      <c r="A1280" s="5">
        <v>1219</v>
      </c>
      <c r="B1280" s="138">
        <f>'Expenditures 15-22'!K128</f>
        <v>17972</v>
      </c>
      <c r="C1280" s="2" t="s">
        <v>573</v>
      </c>
      <c r="D1280" s="2" t="str">
        <f t="shared" si="19"/>
        <v>Error?</v>
      </c>
    </row>
    <row r="1281" spans="1:4" x14ac:dyDescent="0.2">
      <c r="A1281" s="5">
        <v>1220</v>
      </c>
      <c r="B1281" s="138">
        <f>'Expenditures 15-22'!K129</f>
        <v>1007026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1007026</v>
      </c>
      <c r="C1288" s="2" t="s">
        <v>573</v>
      </c>
      <c r="D1288" s="2" t="str">
        <f t="shared" si="19"/>
        <v>Error?</v>
      </c>
    </row>
    <row r="1289" spans="1:4" x14ac:dyDescent="0.2">
      <c r="A1289" s="5">
        <v>1228</v>
      </c>
      <c r="B1289" s="138">
        <f>'Expenditures 15-22'!K152</f>
        <v>285198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669</v>
      </c>
      <c r="C1333" s="2" t="s">
        <v>573</v>
      </c>
      <c r="D1333" s="2" t="str">
        <f t="shared" si="19"/>
        <v>Error?</v>
      </c>
    </row>
    <row r="1334" spans="1:4" x14ac:dyDescent="0.2">
      <c r="A1334" s="10">
        <v>1273</v>
      </c>
      <c r="D1334" s="2" t="str">
        <f t="shared" si="19"/>
        <v>OK</v>
      </c>
    </row>
    <row r="1335" spans="1:4" x14ac:dyDescent="0.2">
      <c r="A1335" s="5">
        <v>1274</v>
      </c>
      <c r="B1335" s="138">
        <f>'Expenditures 15-22'!C182</f>
        <v>81837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81837</v>
      </c>
      <c r="C1339" s="2" t="s">
        <v>573</v>
      </c>
      <c r="D1339" s="2" t="str">
        <f t="shared" si="19"/>
        <v>Error?</v>
      </c>
    </row>
    <row r="1340" spans="1:4" x14ac:dyDescent="0.2">
      <c r="A1340" s="5">
        <v>1279</v>
      </c>
      <c r="B1340" s="138">
        <f>'Expenditures 15-22'!C210</f>
        <v>81837</v>
      </c>
      <c r="C1340" s="2" t="s">
        <v>573</v>
      </c>
      <c r="D1340" s="2" t="str">
        <f t="shared" si="19"/>
        <v>Error?</v>
      </c>
    </row>
    <row r="1341" spans="1:4" x14ac:dyDescent="0.2">
      <c r="A1341" s="5">
        <v>1280</v>
      </c>
      <c r="B1341" s="138">
        <f>'Expenditures 15-22'!D182</f>
        <v>9944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9944</v>
      </c>
      <c r="C1345" s="2" t="s">
        <v>573</v>
      </c>
      <c r="D1345" s="2" t="str">
        <f t="shared" si="20"/>
        <v>Error?</v>
      </c>
    </row>
    <row r="1346" spans="1:4" x14ac:dyDescent="0.2">
      <c r="A1346" s="5">
        <v>1285</v>
      </c>
      <c r="B1346" s="138">
        <f>'Expenditures 15-22'!D210</f>
        <v>9944</v>
      </c>
      <c r="C1346" s="2" t="s">
        <v>573</v>
      </c>
      <c r="D1346" s="2" t="str">
        <f t="shared" si="20"/>
        <v>Error?</v>
      </c>
    </row>
    <row r="1347" spans="1:4" x14ac:dyDescent="0.2">
      <c r="A1347" s="5">
        <v>1286</v>
      </c>
      <c r="B1347" s="138">
        <f>'Expenditures 15-22'!E182</f>
        <v>132784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132784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132784</v>
      </c>
      <c r="C1353" s="2" t="s">
        <v>573</v>
      </c>
      <c r="D1353" s="2" t="str">
        <f t="shared" si="20"/>
        <v>Error?</v>
      </c>
    </row>
    <row r="1354" spans="1:4" x14ac:dyDescent="0.2">
      <c r="A1354" s="5">
        <v>1293</v>
      </c>
      <c r="B1354" s="138">
        <f>'Expenditures 15-22'!F182</f>
        <v>10125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10125</v>
      </c>
      <c r="C1358" s="2" t="s">
        <v>573</v>
      </c>
      <c r="D1358" s="2" t="str">
        <f t="shared" si="20"/>
        <v>Error?</v>
      </c>
    </row>
    <row r="1359" spans="1:4" x14ac:dyDescent="0.2">
      <c r="A1359" s="5">
        <v>1298</v>
      </c>
      <c r="B1359" s="138">
        <f>'Expenditures 15-22'!F210</f>
        <v>10125</v>
      </c>
      <c r="C1359" s="2" t="s">
        <v>573</v>
      </c>
      <c r="D1359" s="2" t="str">
        <f t="shared" si="20"/>
        <v>Error?</v>
      </c>
    </row>
    <row r="1360" spans="1:4" x14ac:dyDescent="0.2">
      <c r="A1360" s="5">
        <v>1299</v>
      </c>
      <c r="B1360" s="138">
        <f>'Expenditures 15-22'!G182</f>
        <v>76293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76293</v>
      </c>
      <c r="C1364" s="2" t="s">
        <v>573</v>
      </c>
      <c r="D1364" s="2" t="str">
        <f t="shared" si="20"/>
        <v>Error?</v>
      </c>
    </row>
    <row r="1365" spans="1:4" x14ac:dyDescent="0.2">
      <c r="A1365" s="5">
        <v>1304</v>
      </c>
      <c r="B1365" s="138">
        <f>'Expenditures 15-22'!G210</f>
        <v>76293</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310983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310983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310983</v>
      </c>
      <c r="C1388" s="2" t="s">
        <v>573</v>
      </c>
      <c r="D1388" s="2" t="str">
        <f t="shared" si="20"/>
        <v>Error?</v>
      </c>
    </row>
    <row r="1389" spans="1:4" x14ac:dyDescent="0.2">
      <c r="A1389" s="5">
        <v>1328</v>
      </c>
      <c r="B1389" s="138">
        <f>'Expenditures 15-22'!K211</f>
        <v>-9734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3840</v>
      </c>
      <c r="D1408" s="2" t="str">
        <f t="shared" si="21"/>
        <v>Error?</v>
      </c>
    </row>
    <row r="1409" spans="1:4" x14ac:dyDescent="0.2">
      <c r="A1409" s="5">
        <v>1348</v>
      </c>
      <c r="B1409" s="138">
        <f>'Expenditures 15-22'!D224</f>
        <v>242</v>
      </c>
      <c r="D1409" s="2" t="str">
        <f t="shared" si="21"/>
        <v>Error?</v>
      </c>
    </row>
    <row r="1410" spans="1:4" x14ac:dyDescent="0.2">
      <c r="A1410" s="5">
        <v>1349</v>
      </c>
      <c r="B1410" s="138">
        <f>'Expenditures 15-22'!D229</f>
        <v>98304</v>
      </c>
      <c r="C1410" s="2" t="s">
        <v>573</v>
      </c>
      <c r="D1410" s="2" t="str">
        <f t="shared" si="21"/>
        <v>Error?</v>
      </c>
    </row>
    <row r="1411" spans="1:4" x14ac:dyDescent="0.2">
      <c r="A1411" s="5">
        <v>1350</v>
      </c>
      <c r="B1411" s="138">
        <f>'Expenditures 15-22'!D232</f>
        <v>685</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8892</v>
      </c>
      <c r="D1413" s="2" t="str">
        <f t="shared" si="21"/>
        <v>Error?</v>
      </c>
    </row>
    <row r="1414" spans="1:4" x14ac:dyDescent="0.2">
      <c r="A1414" s="5">
        <v>1353</v>
      </c>
      <c r="B1414" s="138">
        <f>'Expenditures 15-22'!D235</f>
        <v>1020</v>
      </c>
      <c r="D1414" s="2" t="str">
        <f t="shared" si="21"/>
        <v>Error?</v>
      </c>
    </row>
    <row r="1415" spans="1:4" x14ac:dyDescent="0.2">
      <c r="A1415" s="5">
        <v>1354</v>
      </c>
      <c r="B1415" s="138">
        <f>'Expenditures 15-22'!D236</f>
        <v>902</v>
      </c>
      <c r="D1415" s="2" t="str">
        <f t="shared" si="21"/>
        <v>Error?</v>
      </c>
    </row>
    <row r="1416" spans="1:4" x14ac:dyDescent="0.2">
      <c r="A1416" s="5">
        <v>1355</v>
      </c>
      <c r="B1416" s="138">
        <f>'Expenditures 15-22'!D237</f>
        <v>17293</v>
      </c>
      <c r="D1416" s="2" t="str">
        <f t="shared" si="21"/>
        <v>Error?</v>
      </c>
    </row>
    <row r="1417" spans="1:4" x14ac:dyDescent="0.2">
      <c r="A1417" s="5">
        <v>1356</v>
      </c>
      <c r="B1417" s="138">
        <f>'Expenditures 15-22'!D238</f>
        <v>28792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6411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6411</v>
      </c>
      <c r="C1421" s="2" t="s">
        <v>573</v>
      </c>
      <c r="D1421" s="2" t="str">
        <f t="shared" si="21"/>
        <v>Error?</v>
      </c>
    </row>
    <row r="1422" spans="1:4" x14ac:dyDescent="0.2">
      <c r="A1422" s="5">
        <v>1361</v>
      </c>
      <c r="B1422" s="138">
        <f>'Expenditures 15-22'!D245</f>
        <v>7766</v>
      </c>
      <c r="D1422" s="2" t="str">
        <f t="shared" si="21"/>
        <v>Error?</v>
      </c>
    </row>
    <row r="1423" spans="1:4" x14ac:dyDescent="0.2">
      <c r="A1423" s="5">
        <v>1362</v>
      </c>
      <c r="B1423" s="138">
        <f>'Expenditures 15-22'!D246</f>
        <v>4091</v>
      </c>
      <c r="D1423" s="2" t="str">
        <f t="shared" si="21"/>
        <v>Error?</v>
      </c>
    </row>
    <row r="1424" spans="1:4" x14ac:dyDescent="0.2">
      <c r="A1424" s="5">
        <v>1363</v>
      </c>
      <c r="B1424" s="138">
        <f>'Expenditures 15-22'!D257</f>
        <v>11857</v>
      </c>
      <c r="C1424" s="2" t="s">
        <v>573</v>
      </c>
      <c r="D1424" s="2" t="str">
        <f t="shared" si="21"/>
        <v>Error?</v>
      </c>
    </row>
    <row r="1425" spans="1:4" x14ac:dyDescent="0.2">
      <c r="A1425" s="5">
        <v>1364</v>
      </c>
      <c r="B1425" s="138">
        <f>'Expenditures 15-22'!D259</f>
        <v>14580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14580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12733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55725</v>
      </c>
      <c r="D1431" s="2" t="str">
        <f t="shared" si="21"/>
        <v>Error?</v>
      </c>
    </row>
    <row r="1432" spans="1:4" x14ac:dyDescent="0.2">
      <c r="A1432" s="5">
        <v>1371</v>
      </c>
      <c r="B1432" s="138">
        <f>'Expenditures 15-22'!D267</f>
        <v>6774</v>
      </c>
      <c r="D1432" s="2" t="str">
        <f t="shared" si="21"/>
        <v>Error?</v>
      </c>
    </row>
    <row r="1433" spans="1:4" x14ac:dyDescent="0.2">
      <c r="A1433" s="5">
        <v>1372</v>
      </c>
      <c r="B1433" s="138">
        <f>'Expenditures 15-22'!D268</f>
        <v>20490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95722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157362</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255666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3840</v>
      </c>
      <c r="C1472" s="2" t="s">
        <v>573</v>
      </c>
      <c r="D1472" s="2" t="str">
        <f t="shared" si="22"/>
        <v>Error?</v>
      </c>
    </row>
    <row r="1473" spans="1:4" x14ac:dyDescent="0.2">
      <c r="A1473" s="5">
        <v>1412</v>
      </c>
      <c r="B1473" s="138">
        <f>'Expenditures 15-22'!K224</f>
        <v>242</v>
      </c>
      <c r="C1473" s="2" t="s">
        <v>573</v>
      </c>
      <c r="D1473" s="2" t="str">
        <f t="shared" si="22"/>
        <v>Error?</v>
      </c>
    </row>
    <row r="1474" spans="1:4" x14ac:dyDescent="0.2">
      <c r="A1474" s="5">
        <v>1413</v>
      </c>
      <c r="B1474" s="138">
        <f>'Expenditures 15-22'!K229</f>
        <v>98304</v>
      </c>
      <c r="C1474" s="2" t="s">
        <v>573</v>
      </c>
      <c r="D1474" s="2" t="str">
        <f t="shared" si="22"/>
        <v>Error?</v>
      </c>
    </row>
    <row r="1475" spans="1:4" x14ac:dyDescent="0.2">
      <c r="A1475" s="5">
        <v>1414</v>
      </c>
      <c r="B1475" s="138">
        <f>'Expenditures 15-22'!K232</f>
        <v>685</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8892</v>
      </c>
      <c r="C1477" s="2" t="s">
        <v>573</v>
      </c>
      <c r="D1477" s="2" t="str">
        <f t="shared" si="22"/>
        <v>Error?</v>
      </c>
    </row>
    <row r="1478" spans="1:4" x14ac:dyDescent="0.2">
      <c r="A1478" s="5">
        <v>1417</v>
      </c>
      <c r="B1478" s="138">
        <f>'Expenditures 15-22'!K235</f>
        <v>1020</v>
      </c>
      <c r="C1478" s="2" t="s">
        <v>573</v>
      </c>
      <c r="D1478" s="2" t="str">
        <f t="shared" si="22"/>
        <v>Error?</v>
      </c>
    </row>
    <row r="1479" spans="1:4" x14ac:dyDescent="0.2">
      <c r="A1479" s="5">
        <v>1418</v>
      </c>
      <c r="B1479" s="138">
        <f>'Expenditures 15-22'!K236</f>
        <v>902</v>
      </c>
      <c r="C1479" s="2" t="s">
        <v>573</v>
      </c>
      <c r="D1479" s="2" t="str">
        <f t="shared" si="22"/>
        <v>Error?</v>
      </c>
    </row>
    <row r="1480" spans="1:4" x14ac:dyDescent="0.2">
      <c r="A1480" s="5">
        <v>1419</v>
      </c>
      <c r="B1480" s="138">
        <f>'Expenditures 15-22'!K237</f>
        <v>17293</v>
      </c>
      <c r="C1480" s="2" t="s">
        <v>573</v>
      </c>
      <c r="D1480" s="2" t="str">
        <f t="shared" si="22"/>
        <v>Error?</v>
      </c>
    </row>
    <row r="1481" spans="1:4" x14ac:dyDescent="0.2">
      <c r="A1481" s="5">
        <v>1420</v>
      </c>
      <c r="B1481" s="138">
        <f>'Expenditures 15-22'!K238</f>
        <v>28792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6411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6411</v>
      </c>
      <c r="C1485" s="2" t="s">
        <v>573</v>
      </c>
      <c r="D1485" s="2" t="str">
        <f t="shared" si="22"/>
        <v>Error?</v>
      </c>
    </row>
    <row r="1486" spans="1:4" x14ac:dyDescent="0.2">
      <c r="A1486" s="5">
        <v>1425</v>
      </c>
      <c r="B1486" s="138">
        <f>'Expenditures 15-22'!K245</f>
        <v>7766</v>
      </c>
      <c r="C1486" s="2" t="s">
        <v>573</v>
      </c>
      <c r="D1486" s="2" t="str">
        <f t="shared" si="22"/>
        <v>Error?</v>
      </c>
    </row>
    <row r="1487" spans="1:4" x14ac:dyDescent="0.2">
      <c r="A1487" s="5">
        <v>1426</v>
      </c>
      <c r="B1487" s="138">
        <f>'Expenditures 15-22'!K246</f>
        <v>4091</v>
      </c>
      <c r="C1487" s="2" t="s">
        <v>573</v>
      </c>
      <c r="D1487" s="2" t="str">
        <f t="shared" si="22"/>
        <v>Error?</v>
      </c>
    </row>
    <row r="1488" spans="1:4" x14ac:dyDescent="0.2">
      <c r="A1488" s="5">
        <v>1427</v>
      </c>
      <c r="B1488" s="138">
        <f>'Expenditures 15-22'!K257</f>
        <v>11857</v>
      </c>
      <c r="C1488" s="2" t="s">
        <v>573</v>
      </c>
      <c r="D1488" s="2" t="str">
        <f t="shared" si="22"/>
        <v>Error?</v>
      </c>
    </row>
    <row r="1489" spans="1:4" x14ac:dyDescent="0.2">
      <c r="A1489" s="5">
        <v>1428</v>
      </c>
      <c r="B1489" s="138">
        <f>'Expenditures 15-22'!K259</f>
        <v>14580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14580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12733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55725</v>
      </c>
      <c r="C1495" s="2" t="s">
        <v>573</v>
      </c>
      <c r="D1495" s="2" t="str">
        <f t="shared" si="22"/>
        <v>Error?</v>
      </c>
    </row>
    <row r="1496" spans="1:4" x14ac:dyDescent="0.2">
      <c r="A1496" s="5">
        <v>1435</v>
      </c>
      <c r="B1496" s="138">
        <f>'Expenditures 15-22'!K267</f>
        <v>6774</v>
      </c>
      <c r="C1496" s="2" t="s">
        <v>573</v>
      </c>
      <c r="D1496" s="2" t="str">
        <f t="shared" si="22"/>
        <v>Error?</v>
      </c>
    </row>
    <row r="1497" spans="1:4" x14ac:dyDescent="0.2">
      <c r="A1497" s="5">
        <v>1436</v>
      </c>
      <c r="B1497" s="138">
        <f>'Expenditures 15-22'!K268</f>
        <v>20490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95722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157362</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255666</v>
      </c>
      <c r="C1517" s="2" t="s">
        <v>573</v>
      </c>
      <c r="D1517" s="2" t="str">
        <f t="shared" si="22"/>
        <v>Error?</v>
      </c>
    </row>
    <row r="1518" spans="1:4" x14ac:dyDescent="0.2">
      <c r="A1518" s="5">
        <v>1457</v>
      </c>
      <c r="B1518" s="138">
        <f>'Expenditures 15-22'!K296</f>
        <v>-19938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34968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34968</v>
      </c>
      <c r="C1535" s="2" t="s">
        <v>573</v>
      </c>
      <c r="D1535" s="2" t="str">
        <f t="shared" ref="D1535:D1598" si="23">IF(ISBLANK(B1535),"OK",IF(A1535-B1535=0,"OK","Error?"))</f>
        <v>Error?</v>
      </c>
    </row>
    <row r="1536" spans="1:4" x14ac:dyDescent="0.2">
      <c r="A1536" s="5">
        <v>1475</v>
      </c>
      <c r="B1536" s="138">
        <f>'Expenditures 15-22'!E312</f>
        <v>34968</v>
      </c>
      <c r="C1536" s="2" t="s">
        <v>573</v>
      </c>
      <c r="D1536" s="2" t="str">
        <f t="shared" si="23"/>
        <v>Error?</v>
      </c>
    </row>
    <row r="1537" spans="1:4" x14ac:dyDescent="0.2">
      <c r="A1537" s="5">
        <v>1476</v>
      </c>
      <c r="B1537" s="138">
        <f>'Expenditures 15-22'!F301</f>
        <v>81649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81649</v>
      </c>
      <c r="C1541" s="2" t="s">
        <v>573</v>
      </c>
      <c r="D1541" s="2" t="str">
        <f t="shared" si="23"/>
        <v>Error?</v>
      </c>
    </row>
    <row r="1542" spans="1:4" x14ac:dyDescent="0.2">
      <c r="A1542" s="5">
        <v>1481</v>
      </c>
      <c r="B1542" s="138">
        <f>'Expenditures 15-22'!F312</f>
        <v>81649</v>
      </c>
      <c r="C1542" s="2" t="s">
        <v>573</v>
      </c>
      <c r="D1542" s="2" t="str">
        <f t="shared" si="23"/>
        <v>Error?</v>
      </c>
    </row>
    <row r="1543" spans="1:4" x14ac:dyDescent="0.2">
      <c r="A1543" s="5">
        <v>1482</v>
      </c>
      <c r="B1543" s="138">
        <f>'Expenditures 15-22'!G301</f>
        <v>148168</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148168</v>
      </c>
      <c r="C1547" s="2" t="s">
        <v>573</v>
      </c>
      <c r="D1547" s="2" t="str">
        <f t="shared" si="23"/>
        <v>Error?</v>
      </c>
    </row>
    <row r="1548" spans="1:4" x14ac:dyDescent="0.2">
      <c r="A1548" s="5">
        <v>1487</v>
      </c>
      <c r="B1548" s="138">
        <f>'Expenditures 15-22'!G312</f>
        <v>148168</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264785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264785</v>
      </c>
      <c r="C1559" s="2" t="s">
        <v>573</v>
      </c>
      <c r="D1559" s="2" t="str">
        <f t="shared" si="23"/>
        <v>Error?</v>
      </c>
    </row>
    <row r="1560" spans="1:4" x14ac:dyDescent="0.2">
      <c r="A1560" s="5">
        <v>1499</v>
      </c>
      <c r="B1560" s="138">
        <f>'Expenditures 15-22'!K312</f>
        <v>264785</v>
      </c>
      <c r="C1560" s="2" t="s">
        <v>573</v>
      </c>
      <c r="D1560" s="2" t="str">
        <f t="shared" si="23"/>
        <v>Error?</v>
      </c>
    </row>
    <row r="1561" spans="1:4" x14ac:dyDescent="0.2">
      <c r="A1561" s="5">
        <v>1500</v>
      </c>
      <c r="B1561" s="138">
        <f>'Expenditures 15-22'!K313</f>
        <v>-263480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11546562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11730638</v>
      </c>
      <c r="C1630" s="2" t="s">
        <v>573</v>
      </c>
      <c r="D1630" s="2" t="str">
        <f t="shared" si="24"/>
        <v>Error?</v>
      </c>
    </row>
    <row r="1631" spans="1:4" x14ac:dyDescent="0.2">
      <c r="A1631" s="5">
        <v>1570</v>
      </c>
      <c r="B1631" s="138">
        <f>'Acct Summary 7-8'!D79</f>
        <v>728973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791683</v>
      </c>
      <c r="C1644" s="2" t="s">
        <v>573</v>
      </c>
      <c r="D1644" s="2" t="str">
        <f t="shared" si="24"/>
        <v>Error?</v>
      </c>
    </row>
    <row r="1645" spans="1:4" x14ac:dyDescent="0.2">
      <c r="A1645" s="5">
        <v>1584</v>
      </c>
      <c r="B1645" s="138">
        <f>'Acct Summary 7-8'!E79</f>
        <v>34791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35460</v>
      </c>
      <c r="C1658" s="2" t="s">
        <v>573</v>
      </c>
      <c r="D1658" s="2" t="str">
        <f t="shared" si="24"/>
        <v>Error?</v>
      </c>
    </row>
    <row r="1659" spans="1:4" x14ac:dyDescent="0.2">
      <c r="A1659" s="5">
        <v>1598</v>
      </c>
      <c r="B1659" s="138">
        <f>'Acct Summary 7-8'!F79</f>
        <v>341413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331679</v>
      </c>
      <c r="C1672" s="2" t="s">
        <v>573</v>
      </c>
      <c r="D1672" s="2" t="str">
        <f t="shared" si="25"/>
        <v>Error?</v>
      </c>
    </row>
    <row r="1673" spans="1:4" x14ac:dyDescent="0.2">
      <c r="A1673" s="5">
        <v>1612</v>
      </c>
      <c r="B1673" s="138">
        <f>'Acct Summary 7-8'!G79</f>
        <v>273372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253434</v>
      </c>
      <c r="C1686" s="2" t="s">
        <v>573</v>
      </c>
      <c r="D1686" s="2" t="str">
        <f t="shared" si="25"/>
        <v>Error?</v>
      </c>
    </row>
    <row r="1687" spans="1:4" x14ac:dyDescent="0.2">
      <c r="A1687" s="5">
        <v>1626</v>
      </c>
      <c r="B1687" s="138">
        <f>'Acct Summary 7-8'!H79</f>
        <v>34667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31187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4958902</v>
      </c>
      <c r="C1744" s="2" t="s">
        <v>573</v>
      </c>
      <c r="D1744" s="2" t="str">
        <f t="shared" si="26"/>
        <v>Error?</v>
      </c>
    </row>
    <row r="1745" spans="1:5" x14ac:dyDescent="0.2">
      <c r="A1745" s="5">
        <v>1684</v>
      </c>
      <c r="B1745" s="138">
        <f>'Tax Sched 23'!B5</f>
        <v>1221003</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237652</v>
      </c>
      <c r="C1747" s="2" t="s">
        <v>573</v>
      </c>
      <c r="D1747" s="2" t="str">
        <f t="shared" si="26"/>
        <v>Error?</v>
      </c>
    </row>
    <row r="1748" spans="1:5" x14ac:dyDescent="0.2">
      <c r="A1748" s="5">
        <v>1687</v>
      </c>
      <c r="B1748" s="138">
        <f>'Tax Sched 23'!B8</f>
        <v>53178</v>
      </c>
      <c r="C1748" s="2" t="s">
        <v>573</v>
      </c>
      <c r="D1748" s="2" t="str">
        <f t="shared" si="26"/>
        <v>Error?</v>
      </c>
    </row>
    <row r="1749" spans="1:5" x14ac:dyDescent="0.2">
      <c r="A1749" s="5">
        <v>1688</v>
      </c>
      <c r="B1749" s="138">
        <f>'Tax Sched 23'!B10</f>
        <v>106149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105622</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105623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6932827</v>
      </c>
      <c r="C1759" s="2" t="s">
        <v>573</v>
      </c>
      <c r="D1759" s="2" t="str">
        <f t="shared" si="26"/>
        <v>Error?</v>
      </c>
    </row>
    <row r="1760" spans="1:5" x14ac:dyDescent="0.2">
      <c r="A1760" s="5">
        <v>1699</v>
      </c>
      <c r="B1760" s="138">
        <f>'Tax Sched 23'!D4</f>
        <v>4958902</v>
      </c>
      <c r="C1760" s="2" t="s">
        <v>573</v>
      </c>
      <c r="D1760" s="2" t="str">
        <f t="shared" si="26"/>
        <v>Error?</v>
      </c>
    </row>
    <row r="1761" spans="1:5" x14ac:dyDescent="0.2">
      <c r="A1761" s="5">
        <v>1700</v>
      </c>
      <c r="B1761" s="138">
        <f>'Tax Sched 23'!D5</f>
        <v>1221003</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237652</v>
      </c>
      <c r="C1763" s="2" t="s">
        <v>573</v>
      </c>
      <c r="D1763" s="2" t="str">
        <f t="shared" si="26"/>
        <v>Error?</v>
      </c>
    </row>
    <row r="1764" spans="1:5" x14ac:dyDescent="0.2">
      <c r="A1764" s="5">
        <v>1703</v>
      </c>
      <c r="B1764" s="138">
        <f>'Tax Sched 23'!D8</f>
        <v>53178</v>
      </c>
      <c r="C1764" s="2" t="s">
        <v>573</v>
      </c>
      <c r="D1764" s="2" t="str">
        <f t="shared" si="26"/>
        <v>Error?</v>
      </c>
    </row>
    <row r="1765" spans="1:5" x14ac:dyDescent="0.2">
      <c r="A1765" s="5">
        <v>1704</v>
      </c>
      <c r="B1765" s="138">
        <f>'Tax Sched 23'!D10</f>
        <v>106149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105622</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105623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6932827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4966208</v>
      </c>
      <c r="C1792" s="2" t="s">
        <v>573</v>
      </c>
      <c r="D1792" s="2" t="str">
        <f t="shared" si="27"/>
        <v>Error?</v>
      </c>
    </row>
    <row r="1793" spans="1:4" x14ac:dyDescent="0.2">
      <c r="A1793" s="5">
        <v>1732</v>
      </c>
      <c r="B1793" s="138">
        <f>'Tax Sched 23'!F5</f>
        <v>1228215</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308444</v>
      </c>
      <c r="C1795" s="2" t="s">
        <v>573</v>
      </c>
      <c r="D1795" s="2" t="str">
        <f t="shared" si="27"/>
        <v>Error?</v>
      </c>
    </row>
    <row r="1796" spans="1:4" x14ac:dyDescent="0.2">
      <c r="A1796" s="5">
        <v>1735</v>
      </c>
      <c r="B1796" s="138">
        <f>'Tax Sched 23'!F8</f>
        <v>53403</v>
      </c>
      <c r="C1796" s="2" t="s">
        <v>573</v>
      </c>
      <c r="D1796" s="2" t="str">
        <f t="shared" si="27"/>
        <v>Error?</v>
      </c>
    </row>
    <row r="1797" spans="1:4" x14ac:dyDescent="0.2">
      <c r="A1797" s="5">
        <v>1736</v>
      </c>
      <c r="B1797" s="138">
        <f>'Tax Sched 23'!F10</f>
        <v>114129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106806</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106806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7017545</v>
      </c>
      <c r="C1807" s="2" t="s">
        <v>573</v>
      </c>
      <c r="D1807" s="2" t="str">
        <f t="shared" si="27"/>
        <v>Error?</v>
      </c>
    </row>
    <row r="1808" spans="1:4" x14ac:dyDescent="0.2">
      <c r="A1808" s="5">
        <v>1747</v>
      </c>
      <c r="B1808" s="138">
        <f>'Tax Sched 23'!E4</f>
        <v>4966208</v>
      </c>
      <c r="D1808" s="2" t="str">
        <f t="shared" si="27"/>
        <v>Error?</v>
      </c>
    </row>
    <row r="1809" spans="1:4" x14ac:dyDescent="0.2">
      <c r="A1809" s="5">
        <v>1748</v>
      </c>
      <c r="B1809" s="138">
        <f>'Tax Sched 23'!E5</f>
        <v>1228215</v>
      </c>
      <c r="D1809" s="2" t="str">
        <f t="shared" si="27"/>
        <v>Error?</v>
      </c>
    </row>
    <row r="1810" spans="1:4" x14ac:dyDescent="0.2">
      <c r="A1810" s="5">
        <v>1749</v>
      </c>
      <c r="B1810" s="138">
        <f>'Tax Sched 23'!E6</f>
        <v>0</v>
      </c>
      <c r="D1810" s="2" t="str">
        <f t="shared" si="27"/>
        <v>Error?</v>
      </c>
    </row>
    <row r="1811" spans="1:4" x14ac:dyDescent="0.2">
      <c r="A1811" s="5">
        <v>1750</v>
      </c>
      <c r="B1811" s="138">
        <f>'Tax Sched 23'!E7</f>
        <v>308444</v>
      </c>
      <c r="D1811" s="2" t="str">
        <f t="shared" si="27"/>
        <v>Error?</v>
      </c>
    </row>
    <row r="1812" spans="1:4" x14ac:dyDescent="0.2">
      <c r="A1812" s="5">
        <v>1751</v>
      </c>
      <c r="B1812" s="138">
        <f>'Tax Sched 23'!E8</f>
        <v>53403</v>
      </c>
      <c r="D1812" s="2" t="str">
        <f t="shared" si="27"/>
        <v>Error?</v>
      </c>
    </row>
    <row r="1813" spans="1:4" x14ac:dyDescent="0.2">
      <c r="A1813" s="5">
        <v>1752</v>
      </c>
      <c r="B1813" s="138">
        <f>'Tax Sched 23'!E10</f>
        <v>114129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106806</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106806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7017545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105623</v>
      </c>
      <c r="D1972" s="2" t="str">
        <f t="shared" si="29"/>
        <v>Error?</v>
      </c>
    </row>
    <row r="1973" spans="1:5" x14ac:dyDescent="0.2">
      <c r="A1973" s="5">
        <v>1912</v>
      </c>
      <c r="B1973" s="138">
        <f>'Rest Tax Levies-Tort Im 25'!H6</f>
        <v>78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105701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105701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3524653</v>
      </c>
      <c r="D2008" s="2" t="str">
        <f t="shared" si="30"/>
        <v>Error?</v>
      </c>
    </row>
    <row r="2009" spans="1:4" x14ac:dyDescent="0.2">
      <c r="A2009" s="5">
        <v>1948</v>
      </c>
      <c r="B2009" s="138">
        <f>'Cap Outlay Deprec 26'!C8</f>
        <v>31917005</v>
      </c>
      <c r="D2009" s="2" t="str">
        <f t="shared" si="30"/>
        <v>Error?</v>
      </c>
    </row>
    <row r="2010" spans="1:4" x14ac:dyDescent="0.2">
      <c r="A2010" s="5">
        <v>1949</v>
      </c>
      <c r="B2010" s="138">
        <f>'Cap Outlay Deprec 26'!C10</f>
        <v>2203625</v>
      </c>
      <c r="D2010" s="2" t="str">
        <f t="shared" si="30"/>
        <v>Error?</v>
      </c>
    </row>
    <row r="2011" spans="1:4" x14ac:dyDescent="0.2">
      <c r="A2011" s="5">
        <v>1950</v>
      </c>
      <c r="B2011" s="138">
        <f>'Cap Outlay Deprec 26'!C12</f>
        <v>2293426</v>
      </c>
      <c r="D2011" s="2" t="str">
        <f t="shared" si="30"/>
        <v>Error?</v>
      </c>
    </row>
    <row r="2012" spans="1:4" x14ac:dyDescent="0.2">
      <c r="A2012" s="5">
        <v>1951</v>
      </c>
      <c r="B2012" s="138">
        <f>'Cap Outlay Deprec 26'!C13</f>
        <v>200803</v>
      </c>
      <c r="D2012" s="2" t="str">
        <f t="shared" si="30"/>
        <v>Error?</v>
      </c>
    </row>
    <row r="2013" spans="1:4" x14ac:dyDescent="0.2">
      <c r="A2013" s="5">
        <v>1952</v>
      </c>
      <c r="B2013" s="138">
        <f>'Cap Outlay Deprec 26'!C16</f>
        <v>40139512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58038</v>
      </c>
      <c r="D2015" s="2" t="str">
        <f t="shared" si="30"/>
        <v>Error?</v>
      </c>
    </row>
    <row r="2016" spans="1:4" x14ac:dyDescent="0.2">
      <c r="A2016" s="5">
        <v>1955</v>
      </c>
      <c r="B2016" s="138">
        <f>'Cap Outlay Deprec 26'!D10</f>
        <v>19471</v>
      </c>
      <c r="D2016" s="2" t="str">
        <f t="shared" si="30"/>
        <v>Error?</v>
      </c>
    </row>
    <row r="2017" spans="1:4" x14ac:dyDescent="0.2">
      <c r="A2017" s="5">
        <v>1956</v>
      </c>
      <c r="B2017" s="138">
        <f>'Cap Outlay Deprec 26'!D12</f>
        <v>324689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521732</v>
      </c>
      <c r="C2019" s="2" t="s">
        <v>573</v>
      </c>
      <c r="D2019" s="2" t="str">
        <f t="shared" si="30"/>
        <v>Error?</v>
      </c>
    </row>
    <row r="2020" spans="1:4" x14ac:dyDescent="0.2">
      <c r="A2020" s="5">
        <v>1959</v>
      </c>
      <c r="B2020" s="138">
        <f>'Cap Outlay Deprec 26'!E5</f>
        <v>26551</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91620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118171</v>
      </c>
      <c r="C2025" s="2" t="s">
        <v>573</v>
      </c>
      <c r="D2025" s="2" t="str">
        <f t="shared" si="30"/>
        <v>Error?</v>
      </c>
    </row>
    <row r="2026" spans="1:4" x14ac:dyDescent="0.2">
      <c r="A2026" s="5">
        <v>1965</v>
      </c>
      <c r="B2026" s="138">
        <f>'Cap Outlay Deprec 26'!F5</f>
        <v>3498102</v>
      </c>
      <c r="C2026" s="2" t="s">
        <v>573</v>
      </c>
      <c r="D2026" s="2" t="str">
        <f t="shared" si="30"/>
        <v>Error?</v>
      </c>
    </row>
    <row r="2027" spans="1:4" x14ac:dyDescent="0.2">
      <c r="A2027" s="5">
        <v>1966</v>
      </c>
      <c r="B2027" s="138">
        <f>'Cap Outlay Deprec 26'!F8</f>
        <v>31975043</v>
      </c>
      <c r="C2027" s="2" t="s">
        <v>573</v>
      </c>
      <c r="D2027" s="2" t="str">
        <f t="shared" si="30"/>
        <v>Error?</v>
      </c>
    </row>
    <row r="2028" spans="1:4" x14ac:dyDescent="0.2">
      <c r="A2028" s="5">
        <v>1967</v>
      </c>
      <c r="B2028" s="138">
        <f>'Cap Outlay Deprec 26'!F10</f>
        <v>2223096</v>
      </c>
      <c r="C2028" s="2" t="s">
        <v>573</v>
      </c>
      <c r="D2028" s="2" t="str">
        <f t="shared" si="30"/>
        <v>Error?</v>
      </c>
    </row>
    <row r="2029" spans="1:4" x14ac:dyDescent="0.2">
      <c r="A2029" s="5">
        <v>1968</v>
      </c>
      <c r="B2029" s="138">
        <f>'Cap Outlay Deprec 26'!F12</f>
        <v>2526495</v>
      </c>
      <c r="C2029" s="2" t="s">
        <v>573</v>
      </c>
      <c r="D2029" s="2" t="str">
        <f t="shared" si="30"/>
        <v>Error?</v>
      </c>
    </row>
    <row r="2030" spans="1:4" x14ac:dyDescent="0.2">
      <c r="A2030" s="5">
        <v>1969</v>
      </c>
      <c r="B2030" s="138">
        <f>'Cap Outlay Deprec 26'!F13</f>
        <v>200803</v>
      </c>
      <c r="C2030" s="2" t="s">
        <v>573</v>
      </c>
      <c r="D2030" s="2" t="str">
        <f t="shared" si="30"/>
        <v>Error?</v>
      </c>
    </row>
    <row r="2031" spans="1:4" x14ac:dyDescent="0.2">
      <c r="A2031" s="5">
        <v>1970</v>
      </c>
      <c r="B2031" s="138">
        <f>'Cap Outlay Deprec 26'!F16</f>
        <v>40543073</v>
      </c>
      <c r="C2031" s="2" t="s">
        <v>573</v>
      </c>
      <c r="D2031" s="2" t="str">
        <f t="shared" si="30"/>
        <v>Error?</v>
      </c>
    </row>
    <row r="2032" spans="1:4" x14ac:dyDescent="0.2">
      <c r="A2032" s="10">
        <v>1971</v>
      </c>
      <c r="D2032" s="2" t="str">
        <f t="shared" si="30"/>
        <v>OK</v>
      </c>
    </row>
    <row r="2033" spans="1:4" x14ac:dyDescent="0.2">
      <c r="A2033" s="5">
        <v>1972</v>
      </c>
      <c r="B2033" s="138">
        <f>'Cap Outlay Deprec 26'!H8</f>
        <v>10318984</v>
      </c>
      <c r="D2033" s="2" t="str">
        <f t="shared" si="30"/>
        <v>Error?</v>
      </c>
    </row>
    <row r="2034" spans="1:4" x14ac:dyDescent="0.2">
      <c r="A2034" s="5">
        <v>1973</v>
      </c>
      <c r="B2034" s="138">
        <f>'Cap Outlay Deprec 26'!H10</f>
        <v>1253721</v>
      </c>
      <c r="D2034" s="2" t="str">
        <f t="shared" si="30"/>
        <v>Error?</v>
      </c>
    </row>
    <row r="2035" spans="1:4" x14ac:dyDescent="0.2">
      <c r="A2035" s="5">
        <v>1974</v>
      </c>
      <c r="B2035" s="138">
        <f>'Cap Outlay Deprec 26'!H12</f>
        <v>1201918</v>
      </c>
      <c r="D2035" s="2" t="str">
        <f t="shared" si="30"/>
        <v>Error?</v>
      </c>
    </row>
    <row r="2036" spans="1:4" x14ac:dyDescent="0.2">
      <c r="A2036" s="5">
        <v>1975</v>
      </c>
      <c r="B2036" s="138">
        <f>'Cap Outlay Deprec 26'!H13</f>
        <v>107448</v>
      </c>
      <c r="D2036" s="2" t="str">
        <f t="shared" si="30"/>
        <v>Error?</v>
      </c>
    </row>
    <row r="2037" spans="1:4" x14ac:dyDescent="0.2">
      <c r="A2037" s="5">
        <v>1976</v>
      </c>
      <c r="B2037" s="138">
        <f>'Cap Outlay Deprec 26'!H16</f>
        <v>12882071</v>
      </c>
      <c r="C2037" s="2" t="s">
        <v>573</v>
      </c>
      <c r="D2037" s="2" t="str">
        <f t="shared" si="30"/>
        <v>Error?</v>
      </c>
    </row>
    <row r="2038" spans="1:4" x14ac:dyDescent="0.2">
      <c r="A2038" s="10">
        <v>1977</v>
      </c>
      <c r="D2038" s="2" t="str">
        <f t="shared" si="30"/>
        <v>OK</v>
      </c>
    </row>
    <row r="2039" spans="1:4" x14ac:dyDescent="0.2">
      <c r="A2039" s="5">
        <v>1978</v>
      </c>
      <c r="B2039" s="138">
        <f>'Cap Outlay Deprec 26'!I8</f>
        <v>631618</v>
      </c>
      <c r="D2039" s="2" t="str">
        <f t="shared" si="30"/>
        <v>Error?</v>
      </c>
    </row>
    <row r="2040" spans="1:4" x14ac:dyDescent="0.2">
      <c r="A2040" s="5">
        <v>1979</v>
      </c>
      <c r="B2040" s="138">
        <f>'Cap Outlay Deprec 26'!I10</f>
        <v>75710</v>
      </c>
      <c r="D2040" s="2" t="str">
        <f t="shared" si="30"/>
        <v>Error?</v>
      </c>
    </row>
    <row r="2041" spans="1:4" x14ac:dyDescent="0.2">
      <c r="A2041" s="5">
        <v>1980</v>
      </c>
      <c r="B2041" s="138">
        <f>'Cap Outlay Deprec 26'!I12</f>
        <v>252650</v>
      </c>
      <c r="D2041" s="2" t="str">
        <f t="shared" si="30"/>
        <v>Error?</v>
      </c>
    </row>
    <row r="2042" spans="1:4" x14ac:dyDescent="0.2">
      <c r="A2042" s="5">
        <v>1981</v>
      </c>
      <c r="B2042" s="138">
        <f>'Cap Outlay Deprec 26'!I13</f>
        <v>28380</v>
      </c>
      <c r="D2042" s="2" t="str">
        <f t="shared" si="30"/>
        <v>Error?</v>
      </c>
    </row>
    <row r="2043" spans="1:4" x14ac:dyDescent="0.2">
      <c r="A2043" s="5">
        <v>1982</v>
      </c>
      <c r="B2043" s="138">
        <f>'Cap Outlay Deprec 26'!I16</f>
        <v>1013789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91620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91620</v>
      </c>
      <c r="C2049" s="2" t="s">
        <v>573</v>
      </c>
      <c r="D2049" s="2" t="str">
        <f t="shared" si="31"/>
        <v>Error?</v>
      </c>
    </row>
    <row r="2050" spans="1:4" x14ac:dyDescent="0.2">
      <c r="A2050" s="10">
        <v>1989</v>
      </c>
      <c r="D2050" s="2" t="str">
        <f t="shared" si="31"/>
        <v>OK</v>
      </c>
    </row>
    <row r="2051" spans="1:4" x14ac:dyDescent="0.2">
      <c r="A2051" s="5">
        <v>1990</v>
      </c>
      <c r="B2051" s="138">
        <f>'Cap Outlay Deprec 26'!K8</f>
        <v>10950602</v>
      </c>
      <c r="C2051" s="2" t="s">
        <v>573</v>
      </c>
      <c r="D2051" s="2" t="str">
        <f t="shared" si="31"/>
        <v>Error?</v>
      </c>
    </row>
    <row r="2052" spans="1:4" x14ac:dyDescent="0.2">
      <c r="A2052" s="5">
        <v>1991</v>
      </c>
      <c r="B2052" s="138">
        <f>'Cap Outlay Deprec 26'!K10</f>
        <v>1329431</v>
      </c>
      <c r="C2052" s="2" t="s">
        <v>573</v>
      </c>
      <c r="D2052" s="2" t="str">
        <f t="shared" si="31"/>
        <v>Error?</v>
      </c>
    </row>
    <row r="2053" spans="1:4" x14ac:dyDescent="0.2">
      <c r="A2053" s="5">
        <v>1992</v>
      </c>
      <c r="B2053" s="138">
        <f>'Cap Outlay Deprec 26'!K12</f>
        <v>1362948</v>
      </c>
      <c r="C2053" s="2" t="s">
        <v>573</v>
      </c>
      <c r="D2053" s="2" t="str">
        <f t="shared" si="31"/>
        <v>Error?</v>
      </c>
    </row>
    <row r="2054" spans="1:4" x14ac:dyDescent="0.2">
      <c r="A2054" s="5">
        <v>1993</v>
      </c>
      <c r="B2054" s="138">
        <f>'Cap Outlay Deprec 26'!K13</f>
        <v>135828</v>
      </c>
      <c r="C2054" s="2" t="s">
        <v>573</v>
      </c>
      <c r="D2054" s="2" t="str">
        <f t="shared" si="31"/>
        <v>Error?</v>
      </c>
    </row>
    <row r="2055" spans="1:4" x14ac:dyDescent="0.2">
      <c r="A2055" s="5">
        <v>1994</v>
      </c>
      <c r="B2055" s="138">
        <f>'Cap Outlay Deprec 26'!K16</f>
        <v>13804240</v>
      </c>
      <c r="C2055" s="2" t="s">
        <v>573</v>
      </c>
      <c r="D2055" s="2" t="str">
        <f t="shared" si="31"/>
        <v>Error?</v>
      </c>
    </row>
    <row r="2056" spans="1:4" x14ac:dyDescent="0.2">
      <c r="A2056" s="5">
        <v>1995</v>
      </c>
      <c r="B2056" s="138">
        <f>'Cap Outlay Deprec 26'!L5</f>
        <v>3498102</v>
      </c>
      <c r="C2056" s="2" t="s">
        <v>573</v>
      </c>
      <c r="D2056" s="2" t="str">
        <f t="shared" si="31"/>
        <v>Error?</v>
      </c>
    </row>
    <row r="2057" spans="1:4" x14ac:dyDescent="0.2">
      <c r="A2057" s="5">
        <v>1996</v>
      </c>
      <c r="B2057" s="138">
        <f>'Cap Outlay Deprec 26'!L8</f>
        <v>21024441</v>
      </c>
      <c r="C2057" s="2" t="s">
        <v>573</v>
      </c>
      <c r="D2057" s="2" t="str">
        <f t="shared" si="31"/>
        <v>Error?</v>
      </c>
    </row>
    <row r="2058" spans="1:4" x14ac:dyDescent="0.2">
      <c r="A2058" s="5">
        <v>1997</v>
      </c>
      <c r="B2058" s="138">
        <f>'Cap Outlay Deprec 26'!L10</f>
        <v>893665</v>
      </c>
      <c r="C2058" s="2" t="s">
        <v>573</v>
      </c>
      <c r="D2058" s="2" t="str">
        <f t="shared" si="31"/>
        <v>Error?</v>
      </c>
    </row>
    <row r="2059" spans="1:4" x14ac:dyDescent="0.2">
      <c r="A2059" s="5">
        <v>1998</v>
      </c>
      <c r="B2059" s="138">
        <f>'Cap Outlay Deprec 26'!L12</f>
        <v>1163547</v>
      </c>
      <c r="C2059" s="2" t="s">
        <v>573</v>
      </c>
      <c r="D2059" s="2" t="str">
        <f t="shared" si="31"/>
        <v>Error?</v>
      </c>
    </row>
    <row r="2060" spans="1:4" x14ac:dyDescent="0.2">
      <c r="A2060" s="5">
        <v>1999</v>
      </c>
      <c r="B2060" s="138">
        <f>'Cap Outlay Deprec 26'!L13</f>
        <v>64975</v>
      </c>
      <c r="C2060" s="2" t="s">
        <v>573</v>
      </c>
      <c r="D2060" s="2" t="str">
        <f t="shared" si="31"/>
        <v>Error?</v>
      </c>
    </row>
    <row r="2061" spans="1:4" x14ac:dyDescent="0.2">
      <c r="A2061" s="5">
        <v>2000</v>
      </c>
      <c r="B2061" s="138">
        <f>'Cap Outlay Deprec 26'!L16</f>
        <v>26738833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1500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53550</v>
      </c>
      <c r="C2088" s="2" t="s">
        <v>573</v>
      </c>
      <c r="D2088" s="2" t="str">
        <f t="shared" si="31"/>
        <v>Error?</v>
      </c>
    </row>
    <row r="2089" spans="1:4" x14ac:dyDescent="0.2">
      <c r="A2089" s="5">
        <v>2028</v>
      </c>
      <c r="B2089" s="138">
        <f>'Expenditures 15-22'!K92</f>
        <v>32740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62761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5960343</v>
      </c>
      <c r="C2551" s="2" t="s">
        <v>573</v>
      </c>
      <c r="D2551" s="2" t="str">
        <f t="shared" si="38"/>
        <v>Error?</v>
      </c>
    </row>
    <row r="2552" spans="1:4" x14ac:dyDescent="0.2">
      <c r="A2552" s="10">
        <v>2491</v>
      </c>
      <c r="D2552" s="2" t="str">
        <f t="shared" si="38"/>
        <v>OK</v>
      </c>
    </row>
    <row r="2553" spans="1:4" x14ac:dyDescent="0.2">
      <c r="A2553" s="5">
        <v>2492</v>
      </c>
      <c r="B2553" s="138">
        <f>'Acct Summary 7-8'!C6</f>
        <v>445761</v>
      </c>
      <c r="C2553" s="2" t="s">
        <v>573</v>
      </c>
      <c r="D2553" s="2" t="str">
        <f t="shared" si="38"/>
        <v>Error?</v>
      </c>
    </row>
    <row r="2554" spans="1:4" x14ac:dyDescent="0.2">
      <c r="A2554" s="5">
        <v>2493</v>
      </c>
      <c r="B2554" s="138">
        <f>'Acct Summary 7-8'!C7</f>
        <v>358636</v>
      </c>
      <c r="C2554" s="2" t="s">
        <v>573</v>
      </c>
      <c r="D2554" s="2" t="str">
        <f t="shared" si="38"/>
        <v>Error?</v>
      </c>
    </row>
    <row r="2555" spans="1:4" x14ac:dyDescent="0.2">
      <c r="A2555" s="5">
        <v>2494</v>
      </c>
      <c r="B2555" s="138">
        <f>'Acct Summary 7-8'!C8</f>
        <v>6764740</v>
      </c>
      <c r="C2555" s="2" t="s">
        <v>573</v>
      </c>
      <c r="D2555" s="2" t="str">
        <f t="shared" si="38"/>
        <v>Error?</v>
      </c>
    </row>
    <row r="2556" spans="1:4" x14ac:dyDescent="0.2">
      <c r="A2556" s="5">
        <v>2495</v>
      </c>
      <c r="B2556" s="138">
        <f>'Acct Summary 7-8'!C12</f>
        <v>4728516</v>
      </c>
      <c r="C2556" s="2" t="s">
        <v>573</v>
      </c>
      <c r="D2556" s="2" t="str">
        <f t="shared" si="38"/>
        <v>Error?</v>
      </c>
    </row>
    <row r="2557" spans="1:4" x14ac:dyDescent="0.2">
      <c r="A2557" s="5">
        <v>2496</v>
      </c>
      <c r="B2557" s="138">
        <f>'Acct Summary 7-8'!C13</f>
        <v>1764318</v>
      </c>
      <c r="C2557" s="2" t="s">
        <v>573</v>
      </c>
      <c r="D2557" s="2" t="str">
        <f t="shared" si="38"/>
        <v>Error?</v>
      </c>
    </row>
    <row r="2558" spans="1:4" x14ac:dyDescent="0.2">
      <c r="A2558" s="5">
        <v>2497</v>
      </c>
      <c r="B2558" s="138">
        <f>'Acct Summary 7-8'!C14</f>
        <v>1540</v>
      </c>
      <c r="C2558" s="2" t="s">
        <v>573</v>
      </c>
      <c r="D2558" s="2" t="str">
        <f t="shared" si="38"/>
        <v>Error?</v>
      </c>
    </row>
    <row r="2559" spans="1:4" x14ac:dyDescent="0.2">
      <c r="A2559" s="5">
        <v>2498</v>
      </c>
      <c r="B2559" s="138">
        <f>'Acct Summary 7-8'!C15</f>
        <v>86290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6580664</v>
      </c>
      <c r="C2561" s="2" t="s">
        <v>573</v>
      </c>
      <c r="D2561" s="2" t="str">
        <f t="shared" si="39"/>
        <v>Error?</v>
      </c>
    </row>
    <row r="2562" spans="1:4" x14ac:dyDescent="0.2">
      <c r="A2562" s="5">
        <v>2501</v>
      </c>
      <c r="B2562" s="138">
        <f>'Acct Summary 7-8'!C20</f>
        <v>184076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1292224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1292224</v>
      </c>
      <c r="C2568" s="2" t="s">
        <v>573</v>
      </c>
      <c r="D2568" s="2" t="str">
        <f t="shared" si="39"/>
        <v>Error?</v>
      </c>
    </row>
    <row r="2569" spans="1:4" x14ac:dyDescent="0.2">
      <c r="A2569" s="5">
        <v>2508</v>
      </c>
      <c r="B2569" s="138">
        <f>'Acct Summary 7-8'!D13</f>
        <v>1007026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1007026</v>
      </c>
      <c r="C2573" s="2" t="s">
        <v>573</v>
      </c>
      <c r="D2573" s="2" t="str">
        <f t="shared" si="39"/>
        <v>Error?</v>
      </c>
    </row>
    <row r="2574" spans="1:4" x14ac:dyDescent="0.2">
      <c r="A2574" s="5">
        <v>2513</v>
      </c>
      <c r="B2574" s="138">
        <f>'Acct Summary 7-8'!D20</f>
        <v>285198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245303</v>
      </c>
      <c r="C2591" s="2" t="s">
        <v>573</v>
      </c>
      <c r="D2591" s="2" t="str">
        <f t="shared" si="39"/>
        <v>Error?</v>
      </c>
    </row>
    <row r="2592" spans="1:4" x14ac:dyDescent="0.2">
      <c r="A2592" s="10">
        <v>2531</v>
      </c>
      <c r="D2592" s="2" t="str">
        <f t="shared" si="39"/>
        <v>OK</v>
      </c>
    </row>
    <row r="2593" spans="1:4" x14ac:dyDescent="0.2">
      <c r="A2593" s="5">
        <v>2532</v>
      </c>
      <c r="B2593" s="138">
        <f>'Acct Summary 7-8'!F6</f>
        <v>55946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301249</v>
      </c>
      <c r="C2595" s="2" t="s">
        <v>573</v>
      </c>
      <c r="D2595" s="2" t="str">
        <f t="shared" si="39"/>
        <v>Error?</v>
      </c>
    </row>
    <row r="2596" spans="1:4" x14ac:dyDescent="0.2">
      <c r="A2596" s="5">
        <v>2535</v>
      </c>
      <c r="B2596" s="138">
        <f>'Acct Summary 7-8'!F13</f>
        <v>310983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310983</v>
      </c>
      <c r="C2600" s="2" t="s">
        <v>573</v>
      </c>
      <c r="D2600" s="2" t="str">
        <f t="shared" si="39"/>
        <v>Error?</v>
      </c>
    </row>
    <row r="2601" spans="1:4" x14ac:dyDescent="0.2">
      <c r="A2601" s="5">
        <v>2540</v>
      </c>
      <c r="B2601" s="138">
        <f>'Acct Summary 7-8'!F20</f>
        <v>-9734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235728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235728</v>
      </c>
      <c r="C2606" s="2" t="s">
        <v>573</v>
      </c>
      <c r="D2606" s="2" t="str">
        <f t="shared" si="39"/>
        <v>Error?</v>
      </c>
    </row>
    <row r="2607" spans="1:4" x14ac:dyDescent="0.2">
      <c r="A2607" s="5">
        <v>2546</v>
      </c>
      <c r="B2607" s="138">
        <f>'Acct Summary 7-8'!G12</f>
        <v>98304</v>
      </c>
      <c r="C2607" s="2" t="s">
        <v>573</v>
      </c>
      <c r="D2607" s="2" t="str">
        <f t="shared" si="39"/>
        <v>Error?</v>
      </c>
    </row>
    <row r="2608" spans="1:4" x14ac:dyDescent="0.2">
      <c r="A2608" s="5">
        <v>2547</v>
      </c>
      <c r="B2608" s="138">
        <f>'Acct Summary 7-8'!G13</f>
        <v>157362</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255666</v>
      </c>
      <c r="C2612" s="2" t="s">
        <v>573</v>
      </c>
      <c r="D2612" s="2" t="str">
        <f t="shared" si="39"/>
        <v>Error?</v>
      </c>
    </row>
    <row r="2613" spans="1:4" x14ac:dyDescent="0.2">
      <c r="A2613" s="5">
        <v>2552</v>
      </c>
      <c r="B2613" s="138">
        <f>'Acct Summary 7-8'!G20</f>
        <v>-19938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669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669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669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1305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1305</v>
      </c>
      <c r="C2658" s="2" t="s">
        <v>573</v>
      </c>
      <c r="D2658" s="2" t="str">
        <f t="shared" si="40"/>
        <v>Error?</v>
      </c>
    </row>
    <row r="2659" spans="1:4" x14ac:dyDescent="0.2">
      <c r="A2659" s="5">
        <v>2598</v>
      </c>
      <c r="B2659" s="138">
        <f>'Acct Summary 7-8'!H13</f>
        <v>264785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264785</v>
      </c>
      <c r="C2661" s="2" t="s">
        <v>573</v>
      </c>
      <c r="D2661" s="2" t="str">
        <f t="shared" si="40"/>
        <v>Error?</v>
      </c>
    </row>
    <row r="2662" spans="1:4" x14ac:dyDescent="0.2">
      <c r="A2662" s="5">
        <v>2601</v>
      </c>
      <c r="B2662" s="138">
        <f>'Acct Summary 7-8'!H20</f>
        <v>-263480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52050</v>
      </c>
      <c r="C2789" s="2" t="s">
        <v>573</v>
      </c>
      <c r="D2789" s="2" t="str">
        <f t="shared" si="42"/>
        <v>Error?</v>
      </c>
    </row>
    <row r="2790" spans="1:4" x14ac:dyDescent="0.2">
      <c r="A2790" s="5">
        <v>2729</v>
      </c>
      <c r="B2790" s="138">
        <f>'Expenditures 15-22'!E102</f>
        <v>52050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43241</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759750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759750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9672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759750</v>
      </c>
      <c r="D2912" s="2" t="str">
        <f t="shared" si="44"/>
        <v>Error?</v>
      </c>
    </row>
    <row r="2913" spans="1:4" x14ac:dyDescent="0.2">
      <c r="A2913" s="5">
        <v>2852</v>
      </c>
      <c r="B2913" s="138">
        <f>'Assets-Liab 5-6'!I41</f>
        <v>759750</v>
      </c>
      <c r="C2913" s="2" t="s">
        <v>573</v>
      </c>
      <c r="D2913" s="2" t="str">
        <f t="shared" si="44"/>
        <v>Error?</v>
      </c>
    </row>
    <row r="2914" spans="1:4" x14ac:dyDescent="0.2">
      <c r="A2914" s="5">
        <v>2853</v>
      </c>
      <c r="B2914" s="138">
        <f>'Assets-Liab 5-6'!L33</f>
        <v>6080</v>
      </c>
      <c r="D2914" s="2" t="str">
        <f t="shared" si="44"/>
        <v>Error?</v>
      </c>
    </row>
    <row r="2915" spans="1:4" x14ac:dyDescent="0.2">
      <c r="A2915" s="10">
        <v>2854</v>
      </c>
      <c r="D2915" s="2" t="str">
        <f t="shared" si="44"/>
        <v>OK</v>
      </c>
    </row>
    <row r="2916" spans="1:4" x14ac:dyDescent="0.2">
      <c r="A2916" s="5">
        <v>2855</v>
      </c>
      <c r="B2916" s="138">
        <f>'Assets-Liab 5-6'!L34</f>
        <v>6080</v>
      </c>
      <c r="C2916" s="2" t="s">
        <v>573</v>
      </c>
      <c r="D2916" s="2" t="str">
        <f t="shared" si="44"/>
        <v>Error?</v>
      </c>
    </row>
    <row r="2917" spans="1:4" x14ac:dyDescent="0.2">
      <c r="A2917" s="5">
        <v>2856</v>
      </c>
      <c r="B2917" s="138">
        <f>'Assets-Liab 5-6'!L41</f>
        <v>9672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52050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53550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191138</v>
      </c>
      <c r="D3055" s="2" t="str">
        <f t="shared" si="46"/>
        <v>Error?</v>
      </c>
    </row>
    <row r="3056" spans="1:4" x14ac:dyDescent="0.2">
      <c r="A3056" s="5">
        <v>2995</v>
      </c>
      <c r="B3056" s="138">
        <f>'Expenditures 15-22'!D10</f>
        <v>54832</v>
      </c>
      <c r="D3056" s="2" t="str">
        <f t="shared" si="46"/>
        <v>Error?</v>
      </c>
    </row>
    <row r="3057" spans="1:4" x14ac:dyDescent="0.2">
      <c r="A3057" s="5">
        <v>2996</v>
      </c>
      <c r="B3057" s="138">
        <f>'Expenditures 15-22'!E10</f>
        <v>982</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246952</v>
      </c>
      <c r="C3062" s="2" t="s">
        <v>573</v>
      </c>
      <c r="D3062" s="2" t="str">
        <f t="shared" si="46"/>
        <v>Error?</v>
      </c>
    </row>
    <row r="3063" spans="1:4" x14ac:dyDescent="0.2">
      <c r="A3063" s="10">
        <v>3002</v>
      </c>
      <c r="D3063" s="2" t="str">
        <f t="shared" si="46"/>
        <v>OK</v>
      </c>
    </row>
    <row r="3064" spans="1:4" x14ac:dyDescent="0.2">
      <c r="A3064" s="5">
        <v>3003</v>
      </c>
      <c r="B3064" s="138">
        <f>'Expenditures 15-22'!D219</f>
        <v>5643</v>
      </c>
      <c r="D3064" s="2" t="str">
        <f t="shared" si="46"/>
        <v>Error?</v>
      </c>
    </row>
    <row r="3065" spans="1:4" x14ac:dyDescent="0.2">
      <c r="A3065" s="5">
        <v>3004</v>
      </c>
      <c r="B3065" s="138">
        <f>'Expenditures 15-22'!K219</f>
        <v>5643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3592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120546</v>
      </c>
      <c r="C3225" s="2" t="s">
        <v>573</v>
      </c>
      <c r="D3225" s="2" t="str">
        <f t="shared" si="49"/>
        <v>Error?</v>
      </c>
    </row>
    <row r="3226" spans="1:4" x14ac:dyDescent="0.2">
      <c r="A3226" s="5">
        <v>3165</v>
      </c>
      <c r="B3226" s="138">
        <f>'Acct Summary 7-8'!I8</f>
        <v>120546</v>
      </c>
      <c r="C3226" s="2" t="s">
        <v>573</v>
      </c>
      <c r="D3226" s="2" t="str">
        <f t="shared" si="49"/>
        <v>Error?</v>
      </c>
    </row>
    <row r="3227" spans="1:4" x14ac:dyDescent="0.2">
      <c r="A3227" s="5">
        <v>3166</v>
      </c>
      <c r="B3227" s="138">
        <f>'Acct Summary 7-8'!I20</f>
        <v>120546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184076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37512</v>
      </c>
      <c r="C3235" s="2" t="s">
        <v>573</v>
      </c>
      <c r="D3235" s="2" t="str">
        <f t="shared" si="49"/>
        <v>Error?</v>
      </c>
    </row>
    <row r="3236" spans="1:4" x14ac:dyDescent="0.2">
      <c r="A3236" s="5">
        <v>3175</v>
      </c>
      <c r="B3236" s="138">
        <f>'Acct Summary 7-8'!D75</f>
        <v>260000</v>
      </c>
      <c r="D3236" s="2" t="str">
        <f t="shared" si="49"/>
        <v>Error?</v>
      </c>
    </row>
    <row r="3237" spans="1:4" x14ac:dyDescent="0.2">
      <c r="A3237" s="5">
        <v>3176</v>
      </c>
      <c r="B3237" s="138">
        <f>'Acct Summary 7-8'!D76</f>
        <v>260000</v>
      </c>
      <c r="C3237" s="2" t="s">
        <v>573</v>
      </c>
      <c r="D3237" s="2" t="str">
        <f t="shared" si="49"/>
        <v>Error?</v>
      </c>
    </row>
    <row r="3238" spans="1:4" x14ac:dyDescent="0.2">
      <c r="A3238" s="5">
        <v>3177</v>
      </c>
      <c r="B3238" s="138">
        <f>'Acct Summary 7-8'!D77</f>
        <v>-222488</v>
      </c>
      <c r="C3238" s="2" t="s">
        <v>573</v>
      </c>
      <c r="D3238" s="2" t="str">
        <f t="shared" si="49"/>
        <v>Error?</v>
      </c>
    </row>
    <row r="3239" spans="1:4" x14ac:dyDescent="0.2">
      <c r="A3239" s="5">
        <v>3178</v>
      </c>
      <c r="B3239" s="138">
        <f>'Acct Summary 7-8'!D78</f>
        <v>62710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-9734</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-19938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669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260000</v>
      </c>
      <c r="D3295" s="2" t="str">
        <f t="shared" si="50"/>
        <v>Error?</v>
      </c>
    </row>
    <row r="3296" spans="1:4" x14ac:dyDescent="0.2">
      <c r="A3296" s="5">
        <v>3235</v>
      </c>
      <c r="B3296" s="138">
        <f>'Acct Summary 7-8'!H44</f>
        <v>260000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260000</v>
      </c>
      <c r="C3299" s="2" t="s">
        <v>573</v>
      </c>
      <c r="D3299" s="2" t="str">
        <f t="shared" si="50"/>
        <v>Error?</v>
      </c>
    </row>
    <row r="3300" spans="1:4" x14ac:dyDescent="0.2">
      <c r="A3300" s="5">
        <v>3239</v>
      </c>
      <c r="B3300" s="138">
        <f>'Acct Summary 7-8'!H78</f>
        <v>-3480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120546</v>
      </c>
      <c r="C3320" s="2" t="s">
        <v>573</v>
      </c>
      <c r="D3320" s="2" t="str">
        <f t="shared" si="50"/>
        <v>Error?</v>
      </c>
    </row>
    <row r="3321" spans="1:4" x14ac:dyDescent="0.2">
      <c r="A3321" s="5">
        <v>3260</v>
      </c>
      <c r="B3321" s="138">
        <f>'Acct Summary 7-8'!I79</f>
        <v>639204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759750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668256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133761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46578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849465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34650</v>
      </c>
      <c r="D3387" s="2" t="str">
        <f t="shared" si="51"/>
        <v>Error?</v>
      </c>
    </row>
    <row r="3388" spans="1:4" x14ac:dyDescent="0.2">
      <c r="A3388" s="5">
        <v>3327</v>
      </c>
      <c r="B3388" s="138">
        <f>'Expenditures 15-22'!D217</f>
        <v>44470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34650</v>
      </c>
      <c r="C3390" s="2" t="s">
        <v>573</v>
      </c>
      <c r="D3390" s="2" t="str">
        <f t="shared" si="51"/>
        <v>Error?</v>
      </c>
    </row>
    <row r="3391" spans="1:4" x14ac:dyDescent="0.2">
      <c r="A3391" s="5">
        <v>3330</v>
      </c>
      <c r="B3391" s="138">
        <f>'Expenditures 15-22'!K217</f>
        <v>44470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384535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30821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20172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63520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5066</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9672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144698</v>
      </c>
      <c r="C3446" s="2" t="s">
        <v>573</v>
      </c>
      <c r="D3446" s="2" t="str">
        <f t="shared" si="52"/>
        <v>Error?</v>
      </c>
    </row>
    <row r="3447" spans="1:4" x14ac:dyDescent="0.2">
      <c r="A3447" s="5">
        <v>3386</v>
      </c>
      <c r="B3447" s="138">
        <f>'Tax Sched 23'!D16</f>
        <v>144698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133534</v>
      </c>
      <c r="C3449" s="2" t="s">
        <v>573</v>
      </c>
      <c r="D3449" s="2" t="str">
        <f t="shared" si="52"/>
        <v>Error?</v>
      </c>
    </row>
    <row r="3450" spans="1:4" x14ac:dyDescent="0.2">
      <c r="A3450" s="5">
        <v>3389</v>
      </c>
      <c r="B3450" s="138">
        <f>'Tax Sched 23'!E16</f>
        <v>133534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43241</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43241</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43241</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37512</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79491.820000000007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74200</v>
      </c>
      <c r="D4074" s="2" t="str">
        <f t="shared" si="62"/>
        <v>Error?</v>
      </c>
    </row>
    <row r="4075" spans="1:4" x14ac:dyDescent="0.2">
      <c r="A4075" s="5">
        <v>4014</v>
      </c>
      <c r="B4075" s="138">
        <f>'Expenditures 15-22'!D120</f>
        <v>9478</v>
      </c>
      <c r="D4075" s="2" t="str">
        <f t="shared" si="62"/>
        <v>Error?</v>
      </c>
    </row>
    <row r="4076" spans="1:4" x14ac:dyDescent="0.2">
      <c r="A4076" s="5">
        <v>4015</v>
      </c>
      <c r="B4076" s="138">
        <f>'Expenditures 15-22'!E120</f>
        <v>39</v>
      </c>
      <c r="D4076" s="2" t="str">
        <f t="shared" si="62"/>
        <v>Error?</v>
      </c>
    </row>
    <row r="4077" spans="1:4" x14ac:dyDescent="0.2">
      <c r="A4077" s="5">
        <v>4016</v>
      </c>
      <c r="B4077" s="138">
        <f>'Expenditures 15-22'!F120</f>
        <v>4416</v>
      </c>
      <c r="D4077" s="2" t="str">
        <f t="shared" si="62"/>
        <v>Error?</v>
      </c>
    </row>
    <row r="4078" spans="1:4" x14ac:dyDescent="0.2">
      <c r="A4078" s="5">
        <v>4017</v>
      </c>
      <c r="B4078" s="138">
        <f>'Expenditures 15-22'!G120</f>
        <v>15000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103133</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2943138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9707878</v>
      </c>
      <c r="C4122" s="2" t="s">
        <v>573</v>
      </c>
      <c r="D4122" s="2" t="str">
        <f t="shared" si="63"/>
        <v>Error?</v>
      </c>
    </row>
    <row r="4123" spans="1:4" x14ac:dyDescent="0.2">
      <c r="A4123" s="5">
        <v>4062</v>
      </c>
      <c r="B4123" s="138">
        <f>'Acct Summary 7-8'!D10</f>
        <v>1292224</v>
      </c>
      <c r="C4123" s="2" t="s">
        <v>573</v>
      </c>
      <c r="D4123" s="2" t="str">
        <f t="shared" si="63"/>
        <v>Error?</v>
      </c>
    </row>
    <row r="4124" spans="1:4" x14ac:dyDescent="0.2">
      <c r="A4124" s="5">
        <v>4063</v>
      </c>
      <c r="B4124" s="138">
        <f>'Acct Summary 7-8'!E10</f>
        <v>669</v>
      </c>
      <c r="C4124" s="2" t="s">
        <v>573</v>
      </c>
      <c r="D4124" s="2" t="str">
        <f t="shared" si="63"/>
        <v>Error?</v>
      </c>
    </row>
    <row r="4125" spans="1:4" x14ac:dyDescent="0.2">
      <c r="A4125" s="5">
        <v>4064</v>
      </c>
      <c r="B4125" s="138">
        <f>'Acct Summary 7-8'!F10</f>
        <v>301249</v>
      </c>
      <c r="C4125" s="2" t="s">
        <v>573</v>
      </c>
      <c r="D4125" s="2" t="str">
        <f t="shared" si="63"/>
        <v>Error?</v>
      </c>
    </row>
    <row r="4126" spans="1:4" x14ac:dyDescent="0.2">
      <c r="A4126" s="5">
        <v>4065</v>
      </c>
      <c r="B4126" s="138">
        <f>'Acct Summary 7-8'!G10</f>
        <v>235728</v>
      </c>
      <c r="C4126" s="2" t="s">
        <v>573</v>
      </c>
      <c r="D4126" s="2" t="str">
        <f t="shared" si="63"/>
        <v>Error?</v>
      </c>
    </row>
    <row r="4127" spans="1:4" x14ac:dyDescent="0.2">
      <c r="A4127" s="5">
        <v>4066</v>
      </c>
      <c r="B4127" s="138">
        <f>'Acct Summary 7-8'!H10</f>
        <v>1305</v>
      </c>
      <c r="C4127" s="2" t="s">
        <v>573</v>
      </c>
      <c r="D4127" s="2" t="str">
        <f t="shared" si="63"/>
        <v>Error?</v>
      </c>
    </row>
    <row r="4128" spans="1:4" x14ac:dyDescent="0.2">
      <c r="A4128" s="5">
        <v>4067</v>
      </c>
      <c r="B4128" s="138">
        <f>'Acct Summary 7-8'!I10</f>
        <v>120546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2943138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9523802</v>
      </c>
      <c r="C4136" s="2" t="s">
        <v>573</v>
      </c>
      <c r="D4136" s="2" t="str">
        <f t="shared" si="63"/>
        <v>Error?</v>
      </c>
    </row>
    <row r="4137" spans="1:4" x14ac:dyDescent="0.2">
      <c r="A4137" s="5">
        <v>4076</v>
      </c>
      <c r="B4137" s="138">
        <f>'Acct Summary 7-8'!D19</f>
        <v>1007026</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310983</v>
      </c>
      <c r="C4139" s="2" t="s">
        <v>573</v>
      </c>
      <c r="D4139" s="2" t="str">
        <f t="shared" si="63"/>
        <v>Error?</v>
      </c>
    </row>
    <row r="4140" spans="1:4" x14ac:dyDescent="0.2">
      <c r="A4140" s="5">
        <v>4079</v>
      </c>
      <c r="B4140" s="138">
        <f>'Acct Summary 7-8'!G19</f>
        <v>255666</v>
      </c>
      <c r="C4140" s="2" t="s">
        <v>573</v>
      </c>
      <c r="D4140" s="2" t="str">
        <f t="shared" si="63"/>
        <v>Error?</v>
      </c>
    </row>
    <row r="4141" spans="1:4" x14ac:dyDescent="0.2">
      <c r="A4141" s="5">
        <v>4080</v>
      </c>
      <c r="B4141" s="138">
        <f>'Acct Summary 7-8'!H19</f>
        <v>264785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-35460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929.02</v>
      </c>
      <c r="C4265" s="2" t="s">
        <v>573</v>
      </c>
      <c r="D4265" s="2" t="str">
        <f t="shared" si="65"/>
        <v>Error?</v>
      </c>
      <c r="E4265" s="128"/>
    </row>
    <row r="4266" spans="1:5" x14ac:dyDescent="0.2">
      <c r="A4266" s="12">
        <v>4205</v>
      </c>
      <c r="B4266" s="138">
        <f>('FP Info 3'!F10)*100000</f>
        <v>229.76</v>
      </c>
      <c r="C4266" s="2" t="s">
        <v>573</v>
      </c>
      <c r="D4266" s="2" t="str">
        <f t="shared" si="65"/>
        <v>Error?</v>
      </c>
      <c r="E4266" s="128"/>
    </row>
    <row r="4267" spans="1:5" x14ac:dyDescent="0.2">
      <c r="A4267" s="12">
        <v>4206</v>
      </c>
      <c r="B4267" s="138">
        <f>('FP Info 3'!H10)*100000</f>
        <v>57.7</v>
      </c>
      <c r="C4267" s="2" t="s">
        <v>573</v>
      </c>
      <c r="D4267" s="2" t="str">
        <f t="shared" si="65"/>
        <v>Error?</v>
      </c>
      <c r="E4267" s="128"/>
    </row>
    <row r="4268" spans="1:5" x14ac:dyDescent="0.2">
      <c r="A4268" s="12">
        <v>4207</v>
      </c>
      <c r="B4268" s="138">
        <f>('FP Info 3'!J10)*100000</f>
        <v>1216</v>
      </c>
      <c r="C4268" s="2" t="s">
        <v>573</v>
      </c>
      <c r="D4268" s="2" t="str">
        <f t="shared" si="65"/>
        <v>Error?</v>
      </c>
    </row>
    <row r="4269" spans="1:5" x14ac:dyDescent="0.2">
      <c r="A4269" s="12">
        <v>4208</v>
      </c>
      <c r="B4269" s="138">
        <f>'FP Info 3'!J16</f>
        <v>13613750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22194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7582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1488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21.35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36874</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534564155</v>
      </c>
      <c r="D4995" s="2" t="str">
        <f t="shared" si="77"/>
        <v>Error?</v>
      </c>
    </row>
    <row r="4996" spans="1:4" x14ac:dyDescent="0.2">
      <c r="A4996" s="12">
        <v>4935</v>
      </c>
      <c r="B4996" s="138">
        <f>'FP Info 3'!H31</f>
        <v>36884926.695</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4958902</v>
      </c>
      <c r="D5061" s="2" t="str">
        <f t="shared" si="78"/>
        <v>Error?</v>
      </c>
    </row>
    <row r="5062" spans="1:4" x14ac:dyDescent="0.2">
      <c r="A5062" s="10">
        <v>5001</v>
      </c>
      <c r="D5062" s="2" t="str">
        <f t="shared" si="78"/>
        <v>OK</v>
      </c>
    </row>
    <row r="5063" spans="1:4" x14ac:dyDescent="0.2">
      <c r="A5063" s="5">
        <v>5002</v>
      </c>
      <c r="B5063" s="138">
        <f>'Revenues 9-14'!C7</f>
        <v>105623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5064525</v>
      </c>
      <c r="C5066" s="2" t="s">
        <v>573</v>
      </c>
      <c r="D5066" s="2" t="str">
        <f t="shared" si="78"/>
        <v>Error?</v>
      </c>
    </row>
    <row r="5067" spans="1:4" x14ac:dyDescent="0.2">
      <c r="A5067" s="5">
        <v>5006</v>
      </c>
      <c r="B5067" s="138">
        <f>'Revenues 9-14'!C14</f>
        <v>2539</v>
      </c>
      <c r="D5067" s="2" t="str">
        <f t="shared" si="78"/>
        <v>Error?</v>
      </c>
    </row>
    <row r="5068" spans="1:4" x14ac:dyDescent="0.2">
      <c r="A5068" s="5">
        <v>5007</v>
      </c>
      <c r="B5068" s="138">
        <f>'Revenues 9-14'!C15</f>
        <v>296</v>
      </c>
      <c r="D5068" s="2" t="str">
        <f t="shared" si="78"/>
        <v>Error?</v>
      </c>
    </row>
    <row r="5069" spans="1:4" x14ac:dyDescent="0.2">
      <c r="A5069" s="5">
        <v>5008</v>
      </c>
      <c r="B5069" s="138">
        <f>'Revenues 9-14'!C16</f>
        <v>431186</v>
      </c>
      <c r="D5069" s="2" t="str">
        <f t="shared" si="78"/>
        <v>Error?</v>
      </c>
    </row>
    <row r="5070" spans="1:4" x14ac:dyDescent="0.2">
      <c r="A5070" s="5">
        <v>5009</v>
      </c>
      <c r="B5070" s="138">
        <f>'Revenues 9-14'!C17</f>
        <v>2745</v>
      </c>
      <c r="D5070" s="2" t="str">
        <f t="shared" si="78"/>
        <v>Error?</v>
      </c>
    </row>
    <row r="5071" spans="1:4" x14ac:dyDescent="0.2">
      <c r="A5071" s="5">
        <v>5010</v>
      </c>
      <c r="B5071" s="138">
        <f>'Revenues 9-14'!C18</f>
        <v>436766</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273369</v>
      </c>
      <c r="D5088" s="2" t="str">
        <f t="shared" si="78"/>
        <v>Error?</v>
      </c>
    </row>
    <row r="5089" spans="1:4" x14ac:dyDescent="0.2">
      <c r="A5089" s="5">
        <v>5028</v>
      </c>
      <c r="B5089" s="138">
        <f>'Revenues 9-14'!C66</f>
        <v>-18516</v>
      </c>
      <c r="D5089" s="2" t="str">
        <f t="shared" si="78"/>
        <v>Error?</v>
      </c>
    </row>
    <row r="5090" spans="1:4" x14ac:dyDescent="0.2">
      <c r="A5090" s="5">
        <v>5029</v>
      </c>
      <c r="B5090" s="138">
        <f>'Revenues 9-14'!C67</f>
        <v>254853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2717</v>
      </c>
      <c r="D5094" s="2" t="str">
        <f t="shared" si="78"/>
        <v>Error?</v>
      </c>
    </row>
    <row r="5095" spans="1:4" x14ac:dyDescent="0.2">
      <c r="A5095" s="5">
        <v>5034</v>
      </c>
      <c r="B5095" s="138">
        <f>'Revenues 9-14'!C74</f>
        <v>109</v>
      </c>
      <c r="D5095" s="2" t="str">
        <f t="shared" si="78"/>
        <v>Error?</v>
      </c>
    </row>
    <row r="5096" spans="1:4" x14ac:dyDescent="0.2">
      <c r="A5096" s="5">
        <v>5035</v>
      </c>
      <c r="B5096" s="138">
        <f>'Revenues 9-14'!C75</f>
        <v>102741</v>
      </c>
      <c r="C5096" s="2" t="s">
        <v>573</v>
      </c>
      <c r="D5096" s="2" t="str">
        <f t="shared" si="78"/>
        <v>Error?</v>
      </c>
    </row>
    <row r="5097" spans="1:4" x14ac:dyDescent="0.2">
      <c r="A5097" s="5">
        <v>5036</v>
      </c>
      <c r="B5097" s="138">
        <f>'Revenues 9-14'!C77</f>
        <v>10645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18067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6120</v>
      </c>
      <c r="D5101" s="2" t="str">
        <f t="shared" si="78"/>
        <v>Error?</v>
      </c>
    </row>
    <row r="5102" spans="1:4" x14ac:dyDescent="0.2">
      <c r="A5102" s="5">
        <v>5041</v>
      </c>
      <c r="B5102" s="138">
        <f>'Revenues 9-14'!C82</f>
        <v>34832</v>
      </c>
      <c r="C5102" s="2" t="s">
        <v>573</v>
      </c>
      <c r="D5102" s="2" t="str">
        <f t="shared" si="78"/>
        <v>Error?</v>
      </c>
    </row>
    <row r="5103" spans="1:4" x14ac:dyDescent="0.2">
      <c r="A5103" s="5">
        <v>5042</v>
      </c>
      <c r="B5103" s="138">
        <f>'Revenues 9-14'!C84</f>
        <v>100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50</v>
      </c>
      <c r="D5111" s="2" t="str">
        <f t="shared" si="78"/>
        <v>Error?</v>
      </c>
    </row>
    <row r="5112" spans="1:4" x14ac:dyDescent="0.2">
      <c r="A5112" s="5">
        <v>5051</v>
      </c>
      <c r="B5112" s="138">
        <f>'Revenues 9-14'!C93</f>
        <v>150</v>
      </c>
      <c r="C5112" s="2" t="s">
        <v>573</v>
      </c>
      <c r="D5112" s="2" t="str">
        <f t="shared" si="78"/>
        <v>Error?</v>
      </c>
    </row>
    <row r="5113" spans="1:4" x14ac:dyDescent="0.2">
      <c r="A5113" s="5">
        <v>5052</v>
      </c>
      <c r="B5113" s="138">
        <f>'Revenues 9-14'!C95</f>
        <v>2600</v>
      </c>
      <c r="D5113" s="2" t="str">
        <f t="shared" si="78"/>
        <v>Error?</v>
      </c>
    </row>
    <row r="5114" spans="1:4" x14ac:dyDescent="0.2">
      <c r="A5114" s="5">
        <v>5053</v>
      </c>
      <c r="B5114" s="138">
        <f>'Revenues 9-14'!C96</f>
        <v>3369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53644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6563</v>
      </c>
      <c r="D5119" s="2" t="str">
        <f t="shared" ref="D5119:D5182" si="79">IF(ISBLANK(B5119),"OK",IF(A5119-B5119=0,"OK","Error?"))</f>
        <v>Error?</v>
      </c>
    </row>
    <row r="5120" spans="1:4" x14ac:dyDescent="0.2">
      <c r="A5120" s="5">
        <v>5059</v>
      </c>
      <c r="B5120" s="138">
        <f>'Revenues 9-14'!C108</f>
        <v>66476</v>
      </c>
      <c r="C5120" s="2" t="s">
        <v>573</v>
      </c>
      <c r="D5120" s="2" t="str">
        <f t="shared" si="79"/>
        <v>Error?</v>
      </c>
    </row>
    <row r="5121" spans="1:4" x14ac:dyDescent="0.2">
      <c r="A5121" s="5">
        <v>5060</v>
      </c>
      <c r="B5121" s="138">
        <f>'Revenues 9-14'!C109</f>
        <v>5960343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437008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437008</v>
      </c>
      <c r="C5132" s="2" t="s">
        <v>573</v>
      </c>
      <c r="D5132" s="2" t="str">
        <f t="shared" si="79"/>
        <v>Error?</v>
      </c>
    </row>
    <row r="5133" spans="1:4" x14ac:dyDescent="0.2">
      <c r="A5133" s="5">
        <v>5072</v>
      </c>
      <c r="B5133" s="138">
        <f>'Revenues 9-14'!C125</f>
        <v>6165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6165</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1838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8753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445761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36874</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91832</v>
      </c>
      <c r="D5239" s="2" t="str">
        <f t="shared" si="80"/>
        <v>Error?</v>
      </c>
    </row>
    <row r="5240" spans="1:4" x14ac:dyDescent="0.2">
      <c r="A5240" s="5">
        <v>5179</v>
      </c>
      <c r="B5240" s="138">
        <f>'Revenues 9-14'!C192</f>
        <v>2251</v>
      </c>
      <c r="D5240" s="2" t="str">
        <f t="shared" si="80"/>
        <v>Error?</v>
      </c>
    </row>
    <row r="5241" spans="1:4" x14ac:dyDescent="0.2">
      <c r="A5241" s="5">
        <v>5180</v>
      </c>
      <c r="B5241" s="138">
        <f>'Revenues 9-14'!C193</f>
        <v>19511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113594</v>
      </c>
      <c r="C5246" s="2" t="s">
        <v>573</v>
      </c>
      <c r="D5246" s="2" t="str">
        <f t="shared" si="80"/>
        <v>Error?</v>
      </c>
    </row>
    <row r="5247" spans="1:4" x14ac:dyDescent="0.2">
      <c r="A5247" s="5">
        <v>5186</v>
      </c>
      <c r="B5247" s="138">
        <f>'Revenues 9-14'!C200</f>
        <v>91409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91409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85495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85495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321762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358636</v>
      </c>
      <c r="C5326" s="2" t="s">
        <v>573</v>
      </c>
      <c r="D5326" s="2" t="str">
        <f t="shared" si="82"/>
        <v>Error?</v>
      </c>
    </row>
    <row r="5327" spans="1:5" x14ac:dyDescent="0.2">
      <c r="A5327" s="5">
        <v>5266</v>
      </c>
      <c r="B5327" s="138">
        <f>'Revenues 9-14'!C268</f>
        <v>6764740</v>
      </c>
      <c r="C5327" s="2" t="s">
        <v>573</v>
      </c>
      <c r="D5327" s="2" t="str">
        <f t="shared" si="82"/>
        <v>Error?</v>
      </c>
    </row>
    <row r="5328" spans="1:5" x14ac:dyDescent="0.2">
      <c r="A5328" s="5">
        <v>5267</v>
      </c>
      <c r="B5328" s="138">
        <f>'Revenues 9-14'!D5</f>
        <v>1221003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1221003</v>
      </c>
      <c r="C5334" s="2" t="s">
        <v>573</v>
      </c>
      <c r="D5334" s="2" t="str">
        <f t="shared" si="82"/>
        <v>Error?</v>
      </c>
    </row>
    <row r="5335" spans="1:4" x14ac:dyDescent="0.2">
      <c r="A5335" s="5">
        <v>5274</v>
      </c>
      <c r="B5335" s="138">
        <f>'Revenues 9-14'!D14</f>
        <v>612</v>
      </c>
      <c r="D5335" s="2" t="str">
        <f t="shared" si="82"/>
        <v>Error?</v>
      </c>
    </row>
    <row r="5336" spans="1:4" x14ac:dyDescent="0.2">
      <c r="A5336" s="5">
        <v>5275</v>
      </c>
      <c r="B5336" s="138">
        <f>'Revenues 9-14'!D15</f>
        <v>72</v>
      </c>
      <c r="D5336" s="2" t="str">
        <f t="shared" si="82"/>
        <v>Error?</v>
      </c>
    </row>
    <row r="5337" spans="1:4" x14ac:dyDescent="0.2">
      <c r="A5337" s="5">
        <v>5276</v>
      </c>
      <c r="B5337" s="138">
        <f>'Revenues 9-14'!D16</f>
        <v>0</v>
      </c>
      <c r="D5337" s="2" t="str">
        <f t="shared" si="82"/>
        <v>Error?</v>
      </c>
    </row>
    <row r="5338" spans="1:4" x14ac:dyDescent="0.2">
      <c r="A5338" s="5">
        <v>5277</v>
      </c>
      <c r="B5338" s="138">
        <f>'Revenues 9-14'!D17</f>
        <v>656</v>
      </c>
      <c r="D5338" s="2" t="str">
        <f t="shared" si="82"/>
        <v>Error?</v>
      </c>
    </row>
    <row r="5339" spans="1:4" x14ac:dyDescent="0.2">
      <c r="A5339" s="5">
        <v>5278</v>
      </c>
      <c r="B5339" s="138">
        <f>'Revenues 9-14'!D18</f>
        <v>1340</v>
      </c>
      <c r="C5339" s="2" t="s">
        <v>573</v>
      </c>
      <c r="D5339" s="2" t="str">
        <f t="shared" si="82"/>
        <v>Error?</v>
      </c>
    </row>
    <row r="5340" spans="1:4" x14ac:dyDescent="0.2">
      <c r="A5340" s="5">
        <v>5279</v>
      </c>
      <c r="B5340" s="138">
        <f>'Revenues 9-14'!D65</f>
        <v>22037</v>
      </c>
      <c r="D5340" s="2" t="str">
        <f t="shared" si="82"/>
        <v>Error?</v>
      </c>
    </row>
    <row r="5341" spans="1:4" x14ac:dyDescent="0.2">
      <c r="A5341" s="5">
        <v>5280</v>
      </c>
      <c r="B5341" s="138">
        <f>'Revenues 9-14'!D66</f>
        <v>-1493</v>
      </c>
      <c r="D5341" s="2" t="str">
        <f t="shared" si="82"/>
        <v>Error?</v>
      </c>
    </row>
    <row r="5342" spans="1:4" x14ac:dyDescent="0.2">
      <c r="A5342" s="5">
        <v>5281</v>
      </c>
      <c r="B5342" s="138">
        <f>'Revenues 9-14'!D67</f>
        <v>20544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45311</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4026</v>
      </c>
      <c r="D5354" s="2" t="str">
        <f t="shared" si="82"/>
        <v>Error?</v>
      </c>
    </row>
    <row r="5355" spans="1:4" x14ac:dyDescent="0.2">
      <c r="A5355" s="5">
        <v>5294</v>
      </c>
      <c r="B5355" s="138">
        <f>'Revenues 9-14'!D108</f>
        <v>49337</v>
      </c>
      <c r="C5355" s="2" t="s">
        <v>573</v>
      </c>
      <c r="D5355" s="2" t="str">
        <f t="shared" si="82"/>
        <v>Error?</v>
      </c>
    </row>
    <row r="5356" spans="1:4" x14ac:dyDescent="0.2">
      <c r="A5356" s="5">
        <v>5295</v>
      </c>
      <c r="B5356" s="138">
        <f>'Revenues 9-14'!D109</f>
        <v>1292224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1292224</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718</v>
      </c>
      <c r="D5519" s="2" t="str">
        <f t="shared" si="85"/>
        <v>Error?</v>
      </c>
    </row>
    <row r="5520" spans="1:4" x14ac:dyDescent="0.2">
      <c r="A5520" s="5">
        <v>5459</v>
      </c>
      <c r="B5520" s="138">
        <f>'Revenues 9-14'!E66</f>
        <v>-49</v>
      </c>
      <c r="D5520" s="2" t="str">
        <f t="shared" si="85"/>
        <v>Error?</v>
      </c>
    </row>
    <row r="5521" spans="1:4" x14ac:dyDescent="0.2">
      <c r="A5521" s="5">
        <v>5460</v>
      </c>
      <c r="B5521" s="138">
        <f>'Revenues 9-14'!E67</f>
        <v>669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669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669</v>
      </c>
      <c r="C5552" s="2" t="s">
        <v>573</v>
      </c>
      <c r="D5552" s="2" t="str">
        <f t="shared" si="85"/>
        <v>Error?</v>
      </c>
    </row>
    <row r="5553" spans="1:4" x14ac:dyDescent="0.2">
      <c r="A5553" s="5">
        <v>5492</v>
      </c>
      <c r="B5553" s="138">
        <f>'Revenues 9-14'!F5</f>
        <v>237652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237652</v>
      </c>
      <c r="C5557" s="2" t="s">
        <v>573</v>
      </c>
      <c r="D5557" s="2" t="str">
        <f t="shared" si="85"/>
        <v>Error?</v>
      </c>
    </row>
    <row r="5558" spans="1:4" x14ac:dyDescent="0.2">
      <c r="A5558" s="5">
        <v>5497</v>
      </c>
      <c r="B5558" s="138">
        <f>'Revenues 9-14'!F14</f>
        <v>119</v>
      </c>
      <c r="D5558" s="2" t="str">
        <f t="shared" si="85"/>
        <v>Error?</v>
      </c>
    </row>
    <row r="5559" spans="1:4" x14ac:dyDescent="0.2">
      <c r="A5559" s="5">
        <v>5498</v>
      </c>
      <c r="B5559" s="138">
        <f>'Revenues 9-14'!F15</f>
        <v>14</v>
      </c>
      <c r="D5559" s="2" t="str">
        <f t="shared" si="85"/>
        <v>Error?</v>
      </c>
    </row>
    <row r="5560" spans="1:4" x14ac:dyDescent="0.2">
      <c r="A5560" s="5">
        <v>5499</v>
      </c>
      <c r="B5560" s="138">
        <f>'Revenues 9-14'!F16</f>
        <v>0</v>
      </c>
      <c r="D5560" s="2" t="str">
        <f t="shared" si="85"/>
        <v>Error?</v>
      </c>
    </row>
    <row r="5561" spans="1:4" x14ac:dyDescent="0.2">
      <c r="A5561" s="5">
        <v>5500</v>
      </c>
      <c r="B5561" s="138">
        <f>'Revenues 9-14'!F17</f>
        <v>129</v>
      </c>
      <c r="D5561" s="2" t="str">
        <f t="shared" si="85"/>
        <v>Error?</v>
      </c>
    </row>
    <row r="5562" spans="1:4" x14ac:dyDescent="0.2">
      <c r="A5562" s="5">
        <v>5501</v>
      </c>
      <c r="B5562" s="138">
        <f>'Revenues 9-14'!F18</f>
        <v>262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7925</v>
      </c>
      <c r="D5580" s="2" t="str">
        <f t="shared" si="86"/>
        <v>Error?</v>
      </c>
    </row>
    <row r="5581" spans="1:4" x14ac:dyDescent="0.2">
      <c r="A5581" s="5">
        <v>5520</v>
      </c>
      <c r="B5581" s="138">
        <f>'Revenues 9-14'!F66</f>
        <v>-536</v>
      </c>
      <c r="D5581" s="2" t="str">
        <f t="shared" si="86"/>
        <v>Error?</v>
      </c>
    </row>
    <row r="5582" spans="1:4" x14ac:dyDescent="0.2">
      <c r="A5582" s="5">
        <v>5521</v>
      </c>
      <c r="B5582" s="138">
        <f>'Revenues 9-14'!F67</f>
        <v>7389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245303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2556</v>
      </c>
      <c r="D5615" s="2" t="str">
        <f t="shared" si="86"/>
        <v>Error?</v>
      </c>
    </row>
    <row r="5616" spans="1:4" x14ac:dyDescent="0.2">
      <c r="A5616" s="10">
        <v>5555</v>
      </c>
      <c r="D5616" s="2" t="str">
        <f t="shared" si="86"/>
        <v>OK</v>
      </c>
    </row>
    <row r="5617" spans="1:5" x14ac:dyDescent="0.2">
      <c r="A5617" s="5">
        <v>5556</v>
      </c>
      <c r="B5617" s="138">
        <f>'Revenues 9-14'!F153</f>
        <v>53390</v>
      </c>
      <c r="D5617" s="2" t="str">
        <f t="shared" si="86"/>
        <v>Error?</v>
      </c>
    </row>
    <row r="5618" spans="1:5" x14ac:dyDescent="0.2">
      <c r="A5618" s="5">
        <v>5557</v>
      </c>
      <c r="B5618" s="138">
        <f>'Revenues 9-14'!F155</f>
        <v>55946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55946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55946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301249</v>
      </c>
      <c r="C5720" s="2" t="s">
        <v>573</v>
      </c>
      <c r="D5720" s="2" t="str">
        <f t="shared" si="88"/>
        <v>Error?</v>
      </c>
    </row>
    <row r="5721" spans="1:4" x14ac:dyDescent="0.2">
      <c r="A5721" s="5">
        <v>5660</v>
      </c>
      <c r="B5721" s="138">
        <f>'Revenues 9-14'!G5</f>
        <v>53178</v>
      </c>
      <c r="D5721" s="2" t="str">
        <f t="shared" si="88"/>
        <v>Error?</v>
      </c>
    </row>
    <row r="5722" spans="1:4" x14ac:dyDescent="0.2">
      <c r="A5722" s="5">
        <v>5661</v>
      </c>
      <c r="B5722" s="138">
        <f>'Revenues 9-14'!G7</f>
        <v>0</v>
      </c>
      <c r="D5722" s="2" t="str">
        <f t="shared" si="88"/>
        <v>Error?</v>
      </c>
    </row>
    <row r="5723" spans="1:4" x14ac:dyDescent="0.2">
      <c r="A5723" s="5">
        <v>5662</v>
      </c>
      <c r="B5723" s="138">
        <f>'Revenues 9-14'!G8</f>
        <v>144698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197876</v>
      </c>
      <c r="C5725" s="2" t="s">
        <v>573</v>
      </c>
      <c r="D5725" s="2" t="str">
        <f t="shared" si="88"/>
        <v>Error?</v>
      </c>
    </row>
    <row r="5726" spans="1:4" x14ac:dyDescent="0.2">
      <c r="A5726" s="5">
        <v>5665</v>
      </c>
      <c r="B5726" s="138">
        <f>'Revenues 9-14'!G14</f>
        <v>99</v>
      </c>
      <c r="D5726" s="2" t="str">
        <f t="shared" si="88"/>
        <v>Error?</v>
      </c>
    </row>
    <row r="5727" spans="1:4" x14ac:dyDescent="0.2">
      <c r="A5727" s="5">
        <v>5666</v>
      </c>
      <c r="B5727" s="138">
        <f>'Revenues 9-14'!G15</f>
        <v>12</v>
      </c>
      <c r="D5727" s="2" t="str">
        <f t="shared" si="88"/>
        <v>Error?</v>
      </c>
    </row>
    <row r="5728" spans="1:4" x14ac:dyDescent="0.2">
      <c r="A5728" s="5">
        <v>5667</v>
      </c>
      <c r="B5728" s="138">
        <f>'Revenues 9-14'!G16</f>
        <v>32415</v>
      </c>
      <c r="D5728" s="2" t="str">
        <f t="shared" si="88"/>
        <v>Error?</v>
      </c>
    </row>
    <row r="5729" spans="1:4" x14ac:dyDescent="0.2">
      <c r="A5729" s="5">
        <v>5668</v>
      </c>
      <c r="B5729" s="138">
        <f>'Revenues 9-14'!G17</f>
        <v>115</v>
      </c>
      <c r="D5729" s="2" t="str">
        <f t="shared" si="88"/>
        <v>Error?</v>
      </c>
    </row>
    <row r="5730" spans="1:4" x14ac:dyDescent="0.2">
      <c r="A5730" s="5">
        <v>5669</v>
      </c>
      <c r="B5730" s="138">
        <f>'Revenues 9-14'!G18</f>
        <v>32641</v>
      </c>
      <c r="C5730" s="2" t="s">
        <v>573</v>
      </c>
      <c r="D5730" s="2" t="str">
        <f t="shared" si="88"/>
        <v>Error?</v>
      </c>
    </row>
    <row r="5731" spans="1:4" x14ac:dyDescent="0.2">
      <c r="A5731" s="5">
        <v>5670</v>
      </c>
      <c r="B5731" s="138">
        <f>'Revenues 9-14'!G65</f>
        <v>5607</v>
      </c>
      <c r="D5731" s="2" t="str">
        <f t="shared" si="88"/>
        <v>Error?</v>
      </c>
    </row>
    <row r="5732" spans="1:4" x14ac:dyDescent="0.2">
      <c r="A5732" s="5">
        <v>5671</v>
      </c>
      <c r="B5732" s="138">
        <f>'Revenues 9-14'!G66</f>
        <v>-396</v>
      </c>
      <c r="D5732" s="2" t="str">
        <f t="shared" si="88"/>
        <v>Error?</v>
      </c>
    </row>
    <row r="5733" spans="1:4" x14ac:dyDescent="0.2">
      <c r="A5733" s="5">
        <v>5672</v>
      </c>
      <c r="B5733" s="138">
        <f>'Revenues 9-14'!G67</f>
        <v>5211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235728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1401</v>
      </c>
      <c r="D5879" s="2" t="str">
        <f t="shared" si="90"/>
        <v>Error?</v>
      </c>
    </row>
    <row r="5880" spans="1:4" x14ac:dyDescent="0.2">
      <c r="A5880" s="5">
        <v>5819</v>
      </c>
      <c r="B5880" s="138">
        <f>'Revenues 9-14'!H66</f>
        <v>-96</v>
      </c>
      <c r="D5880" s="2" t="str">
        <f t="shared" si="90"/>
        <v>Error?</v>
      </c>
    </row>
    <row r="5881" spans="1:4" x14ac:dyDescent="0.2">
      <c r="A5881" s="5">
        <v>5820</v>
      </c>
      <c r="B5881" s="138">
        <f>'Revenues 9-14'!H67</f>
        <v>1305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1305</v>
      </c>
      <c r="C5915" s="2" t="s">
        <v>573</v>
      </c>
      <c r="D5915" s="2" t="str">
        <f t="shared" si="91"/>
        <v>Error?</v>
      </c>
    </row>
    <row r="5916" spans="1:4" x14ac:dyDescent="0.2">
      <c r="A5916" s="5">
        <v>5855</v>
      </c>
      <c r="B5916" s="138">
        <f>'Revenues 9-14'!I5</f>
        <v>106149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106149</v>
      </c>
      <c r="C5918" s="2" t="s">
        <v>573</v>
      </c>
      <c r="D5918" s="2" t="str">
        <f t="shared" si="91"/>
        <v>Error?</v>
      </c>
    </row>
    <row r="5919" spans="1:4" x14ac:dyDescent="0.2">
      <c r="A5919" s="5">
        <v>5858</v>
      </c>
      <c r="B5919" s="138">
        <f>'Revenues 9-14'!I14</f>
        <v>53</v>
      </c>
      <c r="D5919" s="2" t="str">
        <f t="shared" si="91"/>
        <v>Error?</v>
      </c>
    </row>
    <row r="5920" spans="1:4" x14ac:dyDescent="0.2">
      <c r="A5920" s="5">
        <v>5859</v>
      </c>
      <c r="B5920" s="138">
        <f>'Revenues 9-14'!I15</f>
        <v>6</v>
      </c>
      <c r="D5920" s="2" t="str">
        <f t="shared" si="91"/>
        <v>Error?</v>
      </c>
    </row>
    <row r="5921" spans="1:4" x14ac:dyDescent="0.2">
      <c r="A5921" s="5">
        <v>5860</v>
      </c>
      <c r="B5921" s="138">
        <f>'Revenues 9-14'!I16</f>
        <v>0</v>
      </c>
      <c r="D5921" s="2" t="str">
        <f t="shared" si="91"/>
        <v>Error?</v>
      </c>
    </row>
    <row r="5922" spans="1:4" x14ac:dyDescent="0.2">
      <c r="A5922" s="5">
        <v>5861</v>
      </c>
      <c r="B5922" s="138">
        <f>'Revenues 9-14'!I17</f>
        <v>60</v>
      </c>
      <c r="D5922" s="2" t="str">
        <f t="shared" si="91"/>
        <v>Error?</v>
      </c>
    </row>
    <row r="5923" spans="1:4" x14ac:dyDescent="0.2">
      <c r="A5923" s="5">
        <v>5862</v>
      </c>
      <c r="B5923" s="138">
        <f>'Revenues 9-14'!I18</f>
        <v>119</v>
      </c>
      <c r="C5923" s="2" t="s">
        <v>573</v>
      </c>
      <c r="D5923" s="2" t="str">
        <f t="shared" si="91"/>
        <v>Error?</v>
      </c>
    </row>
    <row r="5924" spans="1:4" x14ac:dyDescent="0.2">
      <c r="A5924" s="5">
        <v>5863</v>
      </c>
      <c r="B5924" s="138">
        <f>'Revenues 9-14'!I65</f>
        <v>15317</v>
      </c>
      <c r="D5924" s="2" t="str">
        <f t="shared" si="91"/>
        <v>Error?</v>
      </c>
    </row>
    <row r="5925" spans="1:4" x14ac:dyDescent="0.2">
      <c r="A5925" s="5">
        <v>5864</v>
      </c>
      <c r="B5925" s="138">
        <f>'Revenues 9-14'!I66</f>
        <v>-1039</v>
      </c>
      <c r="D5925" s="2" t="str">
        <f t="shared" si="91"/>
        <v>Error?</v>
      </c>
    </row>
    <row r="5926" spans="1:4" x14ac:dyDescent="0.2">
      <c r="A5926" s="5">
        <v>5865</v>
      </c>
      <c r="B5926" s="138">
        <f>'Revenues 9-14'!I67</f>
        <v>14278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120546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235728</v>
      </c>
      <c r="C6024" s="2" t="s">
        <v>573</v>
      </c>
      <c r="D6024" s="2" t="str">
        <f t="shared" si="93"/>
        <v>Error?</v>
      </c>
    </row>
    <row r="6025" spans="1:5" x14ac:dyDescent="0.2">
      <c r="A6025" s="5">
        <v>5964</v>
      </c>
      <c r="B6025" s="138">
        <f>'Revenues 9-14'!H109</f>
        <v>1305</v>
      </c>
      <c r="C6025" s="2" t="s">
        <v>573</v>
      </c>
      <c r="D6025" s="2" t="str">
        <f t="shared" si="93"/>
        <v>Error?</v>
      </c>
    </row>
    <row r="6026" spans="1:5" x14ac:dyDescent="0.2">
      <c r="A6026" s="5">
        <v>5965</v>
      </c>
      <c r="B6026" s="138">
        <f>'Revenues 9-14'!I109</f>
        <v>120546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99915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18390.66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398.3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60732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60732</v>
      </c>
      <c r="D6215" s="2" t="str">
        <f t="shared" si="96"/>
        <v>Error?</v>
      </c>
      <c r="E6215" s="2" t="s">
        <v>190</v>
      </c>
    </row>
    <row r="6216" spans="1:5" x14ac:dyDescent="0.2">
      <c r="A6216">
        <v>6155</v>
      </c>
      <c r="B6216" s="138">
        <f>'Assets-Liab 5-6'!J41</f>
        <v>60732</v>
      </c>
      <c r="D6216" s="2" t="str">
        <f t="shared" si="96"/>
        <v>Error?</v>
      </c>
      <c r="E6216" s="2" t="s">
        <v>190</v>
      </c>
    </row>
    <row r="6217" spans="1:5" x14ac:dyDescent="0.2">
      <c r="A6217">
        <v>6156</v>
      </c>
      <c r="B6217" s="138">
        <f>'Assets-Liab 5-6'!J4</f>
        <v>1270</v>
      </c>
      <c r="D6217" s="2" t="str">
        <f t="shared" si="96"/>
        <v>Error?</v>
      </c>
      <c r="E6217" s="2" t="s">
        <v>190</v>
      </c>
    </row>
    <row r="6218" spans="1:5" x14ac:dyDescent="0.2">
      <c r="A6218">
        <v>6157</v>
      </c>
      <c r="B6218" s="138">
        <f>'Assets-Liab 5-6'!J5</f>
        <v>59462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107536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107536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107536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101005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101005</v>
      </c>
      <c r="D6229" s="2" t="str">
        <f t="shared" si="96"/>
        <v>Error?</v>
      </c>
      <c r="E6229" s="2" t="s">
        <v>190</v>
      </c>
    </row>
    <row r="6230" spans="1:5" x14ac:dyDescent="0.2">
      <c r="A6230">
        <v>6169</v>
      </c>
      <c r="B6230" s="138">
        <f>'Acct Summary 7-8'!J20</f>
        <v>6531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6531</v>
      </c>
      <c r="D6263" s="2" t="str">
        <f t="shared" si="96"/>
        <v>Error?</v>
      </c>
      <c r="E6263" s="2" t="s">
        <v>190</v>
      </c>
    </row>
    <row r="6264" spans="1:5" x14ac:dyDescent="0.2">
      <c r="A6264">
        <v>6203</v>
      </c>
      <c r="B6264" s="138">
        <f>'Acct Summary 7-8'!J79</f>
        <v>54201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60732</v>
      </c>
      <c r="D6266" s="2" t="str">
        <f t="shared" si="96"/>
        <v>Error?</v>
      </c>
      <c r="E6266" s="2" t="s">
        <v>190</v>
      </c>
    </row>
    <row r="6267" spans="1:5" x14ac:dyDescent="0.2">
      <c r="A6267">
        <v>6206</v>
      </c>
      <c r="B6267" s="138">
        <f>'Acct Summary 7-8'!C82</f>
        <v>184076</v>
      </c>
      <c r="D6267" s="2" t="str">
        <f t="shared" si="96"/>
        <v>Error?</v>
      </c>
      <c r="E6267" s="2" t="s">
        <v>190</v>
      </c>
    </row>
    <row r="6268" spans="1:5" x14ac:dyDescent="0.2">
      <c r="A6268">
        <v>6207</v>
      </c>
      <c r="B6268" s="138">
        <f>'Acct Summary 7-8'!D82</f>
        <v>62710</v>
      </c>
      <c r="D6268" s="2" t="str">
        <f t="shared" si="96"/>
        <v>Error?</v>
      </c>
      <c r="E6268" s="2" t="s">
        <v>190</v>
      </c>
    </row>
    <row r="6269" spans="1:5" x14ac:dyDescent="0.2">
      <c r="A6269">
        <v>6208</v>
      </c>
      <c r="B6269" s="138">
        <f>'Acct Summary 7-8'!E82</f>
        <v>669</v>
      </c>
      <c r="D6269" s="2" t="str">
        <f t="shared" si="96"/>
        <v>Error?</v>
      </c>
      <c r="E6269" s="2" t="s">
        <v>190</v>
      </c>
    </row>
    <row r="6270" spans="1:5" x14ac:dyDescent="0.2">
      <c r="A6270">
        <v>6209</v>
      </c>
      <c r="B6270" s="138">
        <f>'Acct Summary 7-8'!F82</f>
        <v>-9734</v>
      </c>
      <c r="D6270" s="2" t="str">
        <f t="shared" si="96"/>
        <v>Error?</v>
      </c>
      <c r="E6270" s="2" t="s">
        <v>190</v>
      </c>
    </row>
    <row r="6271" spans="1:5" x14ac:dyDescent="0.2">
      <c r="A6271">
        <v>6210</v>
      </c>
      <c r="B6271" s="138">
        <f>'Acct Summary 7-8'!G82</f>
        <v>-19938</v>
      </c>
      <c r="D6271" s="2" t="str">
        <f t="shared" ref="D6271:D6334" si="97">IF(ISBLANK(B6271),"OK",IF(A6271-B6271=0,"OK","Error?"))</f>
        <v>Error?</v>
      </c>
      <c r="E6271" s="2" t="s">
        <v>190</v>
      </c>
    </row>
    <row r="6272" spans="1:5" x14ac:dyDescent="0.2">
      <c r="A6272">
        <v>6211</v>
      </c>
      <c r="B6272" s="138">
        <f>'Acct Summary 7-8'!H82</f>
        <v>-3480</v>
      </c>
      <c r="D6272" s="2" t="str">
        <f t="shared" si="97"/>
        <v>Error?</v>
      </c>
      <c r="E6272" s="2" t="s">
        <v>190</v>
      </c>
    </row>
    <row r="6273" spans="1:5" x14ac:dyDescent="0.2">
      <c r="A6273">
        <v>6212</v>
      </c>
      <c r="B6273" s="138">
        <f>'Acct Summary 7-8'!I82</f>
        <v>120546</v>
      </c>
      <c r="D6273" s="2" t="str">
        <f t="shared" si="97"/>
        <v>Error?</v>
      </c>
      <c r="E6273" s="2" t="s">
        <v>190</v>
      </c>
    </row>
    <row r="6274" spans="1:5" x14ac:dyDescent="0.2">
      <c r="A6274">
        <v>6213</v>
      </c>
      <c r="B6274" s="138">
        <f>'Acct Summary 7-8'!J82</f>
        <v>6531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1.569190013365002E-2</v>
      </c>
      <c r="D6276" s="2" t="str">
        <f t="shared" si="97"/>
        <v>Error?</v>
      </c>
      <c r="E6276" s="2" t="s">
        <v>190</v>
      </c>
    </row>
    <row r="6277" spans="1:5" x14ac:dyDescent="0.2">
      <c r="A6277">
        <v>6216</v>
      </c>
      <c r="B6277" s="138">
        <f>'Acct Summary 7-8'!D83</f>
        <v>7.9210997331002439E-2</v>
      </c>
      <c r="D6277" s="2" t="str">
        <f t="shared" si="97"/>
        <v>Error?</v>
      </c>
      <c r="E6277" s="2" t="s">
        <v>190</v>
      </c>
    </row>
    <row r="6278" spans="1:5" x14ac:dyDescent="0.2">
      <c r="A6278">
        <v>6217</v>
      </c>
      <c r="B6278" s="138">
        <f>'Acct Summary 7-8'!E83</f>
        <v>1.8866328257191201E-2</v>
      </c>
      <c r="D6278" s="2" t="str">
        <f t="shared" si="97"/>
        <v>Error?</v>
      </c>
      <c r="E6278" s="2" t="s">
        <v>190</v>
      </c>
    </row>
    <row r="6279" spans="1:5" x14ac:dyDescent="0.2">
      <c r="A6279">
        <v>6218</v>
      </c>
      <c r="B6279" s="138">
        <f>'Acct Summary 7-8'!F83</f>
        <v>-2.934765239885552E-2</v>
      </c>
      <c r="D6279" s="2" t="str">
        <f t="shared" si="97"/>
        <v>Error?</v>
      </c>
      <c r="E6279" s="2" t="s">
        <v>190</v>
      </c>
    </row>
    <row r="6280" spans="1:5" x14ac:dyDescent="0.2">
      <c r="A6280">
        <v>6219</v>
      </c>
      <c r="B6280" s="138">
        <f>'Acct Summary 7-8'!G83</f>
        <v>-7.8671370060844237E-2</v>
      </c>
      <c r="D6280" s="2" t="str">
        <f t="shared" si="97"/>
        <v>Error?</v>
      </c>
      <c r="E6280" s="2" t="s">
        <v>190</v>
      </c>
    </row>
    <row r="6281" spans="1:5" x14ac:dyDescent="0.2">
      <c r="A6281">
        <v>6220</v>
      </c>
      <c r="B6281" s="138">
        <f>'Acct Summary 7-8'!H83</f>
        <v>-0.11158495526982397</v>
      </c>
      <c r="D6281" s="2" t="str">
        <f t="shared" si="97"/>
        <v>Error?</v>
      </c>
      <c r="E6281" s="2" t="s">
        <v>190</v>
      </c>
    </row>
    <row r="6282" spans="1:5" x14ac:dyDescent="0.2">
      <c r="A6282">
        <v>6221</v>
      </c>
      <c r="B6282" s="138">
        <f>'Acct Summary 7-8'!I83</f>
        <v>0.15866535044422508</v>
      </c>
      <c r="D6282" s="2" t="str">
        <f t="shared" si="97"/>
        <v>Error?</v>
      </c>
      <c r="E6282" s="2" t="s">
        <v>190</v>
      </c>
    </row>
    <row r="6283" spans="1:5" x14ac:dyDescent="0.2">
      <c r="A6283">
        <v>6222</v>
      </c>
      <c r="B6283" s="138">
        <f>'Acct Summary 7-8'!J83</f>
        <v>0.10753803596127248</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105622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105622</v>
      </c>
      <c r="D6301" s="2" t="str">
        <f t="shared" si="97"/>
        <v>Error?</v>
      </c>
      <c r="E6301" s="2" t="s">
        <v>190</v>
      </c>
    </row>
    <row r="6302" spans="1:5" x14ac:dyDescent="0.2">
      <c r="A6302">
        <v>6241</v>
      </c>
      <c r="B6302" s="138">
        <f>'Revenues 9-14'!J14</f>
        <v>53</v>
      </c>
      <c r="D6302" s="2" t="str">
        <f t="shared" si="97"/>
        <v>Error?</v>
      </c>
      <c r="E6302" s="2" t="s">
        <v>190</v>
      </c>
    </row>
    <row r="6303" spans="1:5" x14ac:dyDescent="0.2">
      <c r="A6303">
        <v>6242</v>
      </c>
      <c r="B6303" s="138">
        <f>'Revenues 9-14'!J15</f>
        <v>6</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58</v>
      </c>
      <c r="D6305" s="2" t="str">
        <f t="shared" si="97"/>
        <v>Error?</v>
      </c>
      <c r="E6305" s="2" t="s">
        <v>190</v>
      </c>
    </row>
    <row r="6306" spans="1:5" x14ac:dyDescent="0.2">
      <c r="A6306">
        <v>6245</v>
      </c>
      <c r="B6306" s="138">
        <f>'Revenues 9-14'!J18</f>
        <v>117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1928</v>
      </c>
      <c r="D6316" s="2" t="str">
        <f t="shared" si="97"/>
        <v>Error?</v>
      </c>
      <c r="E6316" s="2" t="s">
        <v>190</v>
      </c>
    </row>
    <row r="6317" spans="1:5" x14ac:dyDescent="0.2">
      <c r="A6317">
        <v>6256</v>
      </c>
      <c r="B6317" s="138">
        <f>'Revenues 9-14'!J66</f>
        <v>-131</v>
      </c>
      <c r="D6317" s="2" t="str">
        <f t="shared" si="97"/>
        <v>Error?</v>
      </c>
      <c r="E6317" s="2" t="s">
        <v>190</v>
      </c>
    </row>
    <row r="6318" spans="1:5" x14ac:dyDescent="0.2">
      <c r="A6318">
        <v>6257</v>
      </c>
      <c r="B6318" s="138">
        <f>'Revenues 9-14'!J67</f>
        <v>1797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107536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87513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112940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127181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33868</v>
      </c>
      <c r="D6880" s="2" t="str">
        <f t="shared" si="106"/>
        <v>Error?</v>
      </c>
    </row>
    <row r="6881" spans="1:4" x14ac:dyDescent="0.2">
      <c r="A6881">
        <v>6820</v>
      </c>
      <c r="B6881" s="138">
        <f>'Expenditures 15-22'!K22</f>
        <v>33868</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32740</v>
      </c>
      <c r="D6983" s="2" t="str">
        <f t="shared" si="108"/>
        <v>Error?</v>
      </c>
    </row>
    <row r="6984" spans="1:4" x14ac:dyDescent="0.2">
      <c r="A6984">
        <v>6923</v>
      </c>
      <c r="B6984" s="138">
        <f>'Expenditures 15-22'!K86</f>
        <v>32740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32740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101005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107536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4021</v>
      </c>
      <c r="D7073" s="2" t="str">
        <f t="shared" si="109"/>
        <v>Error?</v>
      </c>
    </row>
    <row r="7074" spans="1:4" x14ac:dyDescent="0.2">
      <c r="A7074">
        <v>7013</v>
      </c>
      <c r="B7074" s="138">
        <f>'Expenditures 15-22'!K216</f>
        <v>4021</v>
      </c>
      <c r="D7074" s="2" t="str">
        <f t="shared" si="109"/>
        <v>Error?</v>
      </c>
    </row>
    <row r="7075" spans="1:4" x14ac:dyDescent="0.2">
      <c r="A7075">
        <v>7014</v>
      </c>
      <c r="B7075" s="138">
        <f>'Expenditures 15-22'!D218</f>
        <v>5438</v>
      </c>
      <c r="D7075" s="2" t="str">
        <f t="shared" si="109"/>
        <v>Error?</v>
      </c>
    </row>
    <row r="7076" spans="1:4" x14ac:dyDescent="0.2">
      <c r="A7076">
        <v>7015</v>
      </c>
      <c r="B7076" s="138">
        <f>'Expenditures 15-22'!K218</f>
        <v>5438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16152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16152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11449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11449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7637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7637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50500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14007</v>
      </c>
      <c r="D7174" s="2" t="str">
        <f t="shared" si="111"/>
        <v>Error?</v>
      </c>
    </row>
    <row r="7175" spans="1:4" x14ac:dyDescent="0.2">
      <c r="A7175">
        <v>7114</v>
      </c>
      <c r="B7175" s="138">
        <f>'Expenditures 15-22'!F325</f>
        <v>1260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65767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50500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49245</v>
      </c>
      <c r="D7201" s="2" t="str">
        <f t="shared" si="111"/>
        <v>Error?</v>
      </c>
    </row>
    <row r="7202" spans="1:4" x14ac:dyDescent="0.2">
      <c r="A7202">
        <v>7141</v>
      </c>
      <c r="B7202" s="138">
        <f>'Expenditures 15-22'!F330</f>
        <v>1260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101005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50500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49245</v>
      </c>
      <c r="D7218" s="2" t="str">
        <f t="shared" si="111"/>
        <v>Error?</v>
      </c>
    </row>
    <row r="7219" spans="1:4" x14ac:dyDescent="0.2">
      <c r="A7219">
        <v>7158</v>
      </c>
      <c r="B7219" s="138">
        <f>'Expenditures 15-22'!F342</f>
        <v>1260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101005</v>
      </c>
      <c r="D7224" s="2" t="str">
        <f t="shared" si="111"/>
        <v>Error?</v>
      </c>
    </row>
    <row r="7225" spans="1:4" x14ac:dyDescent="0.2">
      <c r="A7225">
        <v>7164</v>
      </c>
      <c r="B7225" s="138">
        <f>'Expenditures 15-22'!K343</f>
        <v>6531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23501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1926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94919</v>
      </c>
      <c r="D7251" s="2" t="str">
        <f t="shared" si="112"/>
        <v>Error?</v>
      </c>
    </row>
    <row r="7252" spans="1:4" x14ac:dyDescent="0.2">
      <c r="A7252">
        <f t="shared" si="113"/>
        <v>7191</v>
      </c>
      <c r="B7252" s="138">
        <f>'Expenditures 15-22'!D9</f>
        <v>32262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76293</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76293</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25431</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25431</v>
      </c>
      <c r="D7622" s="2" t="str">
        <f t="shared" si="124"/>
        <v>Error?</v>
      </c>
      <c r="E7622" s="2" t="s">
        <v>19</v>
      </c>
    </row>
    <row r="7623" spans="1:5" x14ac:dyDescent="0.2">
      <c r="A7623">
        <f t="shared" si="123"/>
        <v>7562</v>
      </c>
      <c r="B7623" s="138">
        <f>'Cap Outlay Deprec 26'!L14</f>
        <v>50862</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1013789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105701</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429099</v>
      </c>
      <c r="D7797" s="2" t="str">
        <f t="shared" si="127"/>
        <v>Error?</v>
      </c>
      <c r="E7797" s="4" t="s">
        <v>1904</v>
      </c>
    </row>
    <row r="7798" spans="1:5" x14ac:dyDescent="0.2">
      <c r="A7798">
        <v>7737</v>
      </c>
      <c r="B7798" s="138">
        <f>'Contracts Paid in CY 29'!F141</f>
        <v>175000</v>
      </c>
      <c r="D7798" s="2" t="str">
        <f t="shared" si="127"/>
        <v>Error?</v>
      </c>
      <c r="E7798" s="4" t="s">
        <v>1904</v>
      </c>
    </row>
    <row r="7799" spans="1:5" x14ac:dyDescent="0.2">
      <c r="A7799">
        <v>7738</v>
      </c>
      <c r="B7799" s="138">
        <f>'Contracts Paid in CY 29'!G141</f>
        <v>254099</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384" t="str">
        <f>COVER!A17</f>
        <v>Seneca CCSD 170</v>
      </c>
      <c r="B7" s="2385"/>
      <c r="C7" s="2385"/>
      <c r="D7" s="2422"/>
      <c r="E7" s="2423">
        <f>COVER!A13</f>
        <v>35050170004</v>
      </c>
      <c r="F7" s="2424"/>
      <c r="G7" s="2391" t="str">
        <f>COVER!T23</f>
        <v>066-005027</v>
      </c>
      <c r="H7" s="2392"/>
      <c r="I7" s="2392"/>
      <c r="J7" s="2392"/>
      <c r="K7" s="2392"/>
      <c r="L7" s="2393"/>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394"/>
      <c r="B9" s="2395"/>
      <c r="C9" s="2395"/>
      <c r="D9" s="2395"/>
      <c r="E9" s="2395"/>
      <c r="F9" s="2396"/>
      <c r="G9" s="2397" t="str">
        <f>COVER!T13</f>
        <v>Gorenz and Associates, Ltd.</v>
      </c>
      <c r="H9" s="2398"/>
      <c r="I9" s="2398"/>
      <c r="J9" s="2398"/>
      <c r="K9" s="2398"/>
      <c r="L9" s="2399"/>
    </row>
    <row r="10" spans="1:29" ht="13.5" customHeight="1" x14ac:dyDescent="0.2">
      <c r="A10" s="2381" t="str">
        <f>COVER!A38</f>
        <v>Eric Misener</v>
      </c>
      <c r="B10" s="2382"/>
      <c r="C10" s="2382"/>
      <c r="D10" s="2382"/>
      <c r="E10" s="2382"/>
      <c r="F10" s="2383"/>
      <c r="G10" s="2397" t="str">
        <f>COVER!T17</f>
        <v>4200 N Knoxville Ave</v>
      </c>
      <c r="H10" s="2410"/>
      <c r="I10" s="2410"/>
      <c r="J10" s="2410"/>
      <c r="K10" s="2410"/>
      <c r="L10" s="2411"/>
    </row>
    <row r="11" spans="1:29" ht="13.5" customHeight="1" x14ac:dyDescent="0.2">
      <c r="A11" s="1180" t="s">
        <v>1519</v>
      </c>
      <c r="B11" s="1181"/>
      <c r="C11" s="1182"/>
      <c r="D11" s="1187"/>
      <c r="E11" s="1182"/>
      <c r="F11" s="1186"/>
      <c r="G11" s="2397" t="str">
        <f>COVER!T19</f>
        <v>Peoria</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t="str">
        <f>COVER!T25</f>
        <v>jhohulin@gorenzcpa.com</v>
      </c>
      <c r="J13" s="2419"/>
      <c r="K13" s="2419"/>
      <c r="L13" s="2420"/>
    </row>
    <row r="14" spans="1:29" ht="13.5" customHeight="1" x14ac:dyDescent="0.2">
      <c r="A14" s="2397" t="str">
        <f>COVER!A19</f>
        <v>174 Oak Street</v>
      </c>
      <c r="B14" s="2410"/>
      <c r="C14" s="2410"/>
      <c r="D14" s="2410"/>
      <c r="E14" s="2410"/>
      <c r="F14" s="2411"/>
      <c r="G14" s="1191" t="s">
        <v>1185</v>
      </c>
      <c r="H14" s="1189"/>
      <c r="I14" s="1189"/>
      <c r="J14" s="1189"/>
      <c r="K14" s="1189"/>
      <c r="L14" s="1190"/>
    </row>
    <row r="15" spans="1:29" ht="13.5" customHeight="1" x14ac:dyDescent="0.2">
      <c r="A15" s="2397" t="str">
        <f>COVER!A21</f>
        <v>Seneca</v>
      </c>
      <c r="B15" s="2410"/>
      <c r="C15" s="2410"/>
      <c r="D15" s="2410"/>
      <c r="E15" s="2410"/>
      <c r="F15" s="2411"/>
      <c r="G15" s="2407" t="str">
        <f>COVER!T15</f>
        <v>Jason A. Hohulin, CPA</v>
      </c>
      <c r="H15" s="2408"/>
      <c r="I15" s="2408"/>
      <c r="J15" s="2408"/>
      <c r="K15" s="2408"/>
      <c r="L15" s="2409"/>
    </row>
    <row r="16" spans="1:29" ht="12.2" customHeight="1" x14ac:dyDescent="0.2">
      <c r="A16" s="2387">
        <f>COVER!A25</f>
        <v>61360</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1" t="s">
        <v>1184</v>
      </c>
      <c r="H17" s="1189"/>
      <c r="I17" s="1189"/>
      <c r="J17" s="1189"/>
      <c r="K17" s="1193" t="s">
        <v>1183</v>
      </c>
      <c r="L17" s="1186"/>
      <c r="M17" s="1179"/>
    </row>
    <row r="18" spans="1:13" ht="12.2" customHeight="1" x14ac:dyDescent="0.2">
      <c r="A18" s="2381"/>
      <c r="B18" s="2382"/>
      <c r="C18" s="2382"/>
      <c r="D18" s="2382"/>
      <c r="E18" s="2382"/>
      <c r="F18" s="2383"/>
      <c r="G18" s="2384" t="str">
        <f>COVER!T21</f>
        <v>309-685-7621</v>
      </c>
      <c r="H18" s="2385"/>
      <c r="I18" s="2385"/>
      <c r="J18" s="2385"/>
      <c r="K18" s="2384" t="str">
        <f>COVER!X21</f>
        <v>309-685-4758</v>
      </c>
      <c r="L18" s="2386"/>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25" t="str">
        <f>'Single Audit Cover'!A7</f>
        <v>Seneca CCSD 170</v>
      </c>
      <c r="B1" s="2421"/>
      <c r="C1" s="2421"/>
      <c r="D1" s="2421"/>
    </row>
    <row r="2" spans="1:11" s="1208" customFormat="1" ht="12.75" x14ac:dyDescent="0.2">
      <c r="A2" s="2426">
        <f>'Single Audit Cover'!E7</f>
        <v>35050170004</v>
      </c>
      <c r="B2" s="2427"/>
      <c r="C2" s="2427"/>
      <c r="D2" s="2427"/>
    </row>
    <row r="3" spans="1:11" s="1208" customFormat="1" ht="12.75" x14ac:dyDescent="0.2">
      <c r="A3" s="2425" t="s">
        <v>1513</v>
      </c>
      <c r="B3" s="2421"/>
      <c r="C3" s="2421"/>
      <c r="D3" s="2421"/>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29" t="str">
        <f>'Single Audit Cover'!A7</f>
        <v>Seneca CCSD 170</v>
      </c>
      <c r="B1" s="2429"/>
      <c r="C1" s="2429"/>
      <c r="D1" s="2429"/>
      <c r="E1" s="2429"/>
    </row>
    <row r="2" spans="1:5" x14ac:dyDescent="0.2">
      <c r="A2" s="2430">
        <f>'Single Audit Cover'!E7</f>
        <v>35050170004</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3" t="s">
        <v>1243</v>
      </c>
    </row>
    <row r="10" spans="1:5" x14ac:dyDescent="0.2">
      <c r="A10" s="1254" t="s">
        <v>1242</v>
      </c>
      <c r="B10" s="1255" t="s">
        <v>1241</v>
      </c>
      <c r="C10" s="1255"/>
      <c r="D10" s="1256">
        <f>SUM('Acct Summary 7-8'!C7:K7)</f>
        <v>358636</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18390.66</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-7582</v>
      </c>
    </row>
    <row r="19" spans="1:4" ht="13.5" thickBot="1" x14ac:dyDescent="0.25">
      <c r="A19" s="1258" t="s">
        <v>1235</v>
      </c>
      <c r="D19" s="1259">
        <f>SUM(D10:D17)</f>
        <v>369444.66</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31"/>
      <c r="B24" s="2431"/>
      <c r="D24" s="1261"/>
    </row>
    <row r="25" spans="1:4" x14ac:dyDescent="0.2">
      <c r="A25" s="2428"/>
      <c r="B25" s="2428"/>
      <c r="D25" s="1261"/>
    </row>
    <row r="26" spans="1:4" x14ac:dyDescent="0.2">
      <c r="A26" s="2428"/>
      <c r="B26" s="2428"/>
      <c r="D26" s="1261"/>
    </row>
    <row r="27" spans="1:4" x14ac:dyDescent="0.2">
      <c r="A27" s="2428"/>
      <c r="B27" s="2428"/>
      <c r="D27" s="1261"/>
    </row>
    <row r="28" spans="1:4" x14ac:dyDescent="0.2">
      <c r="A28" s="2428"/>
      <c r="B28" s="2428"/>
      <c r="D28" s="1261"/>
    </row>
    <row r="29" spans="1:4" x14ac:dyDescent="0.2">
      <c r="A29" s="2428"/>
      <c r="B29" s="2428"/>
      <c r="D29" s="1261"/>
    </row>
    <row r="30" spans="1:4" x14ac:dyDescent="0.2">
      <c r="A30" s="2428"/>
      <c r="B30" s="2428"/>
      <c r="D30" s="1261"/>
    </row>
    <row r="32" spans="1:4" x14ac:dyDescent="0.2">
      <c r="A32" s="1253" t="s">
        <v>1233</v>
      </c>
      <c r="D32" s="1256">
        <f>SUM(D19:D30)</f>
        <v>369444.66</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28"/>
      <c r="B40" s="2428"/>
      <c r="D40" s="1261"/>
    </row>
    <row r="41" spans="1:4" x14ac:dyDescent="0.2">
      <c r="A41" s="2428"/>
      <c r="B41" s="2428"/>
      <c r="D41" s="1264"/>
    </row>
    <row r="42" spans="1:4" x14ac:dyDescent="0.2">
      <c r="A42" s="2428"/>
      <c r="B42" s="2428"/>
      <c r="D42" s="1264"/>
    </row>
    <row r="43" spans="1:4" x14ac:dyDescent="0.2">
      <c r="A43" s="2428"/>
      <c r="B43" s="2428"/>
      <c r="D43" s="1264"/>
    </row>
    <row r="44" spans="1:4" x14ac:dyDescent="0.2">
      <c r="A44" s="2428"/>
      <c r="B44" s="2428"/>
      <c r="D44" s="1264"/>
    </row>
    <row r="45" spans="1:4" x14ac:dyDescent="0.2">
      <c r="A45" s="2428"/>
      <c r="B45" s="2428"/>
      <c r="D45" s="1264"/>
    </row>
    <row r="47" spans="1:4" x14ac:dyDescent="0.2">
      <c r="B47" s="1265" t="s">
        <v>1227</v>
      </c>
      <c r="C47" s="1265"/>
      <c r="D47" s="1266">
        <f>SUM(D35:D45)</f>
        <v>0</v>
      </c>
    </row>
    <row r="49" spans="2:4" x14ac:dyDescent="0.2">
      <c r="B49" s="1265" t="s">
        <v>1226</v>
      </c>
      <c r="C49" s="1265"/>
      <c r="D49" s="1266">
        <f>D32-D47</f>
        <v>369444.66</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130" zoomScaleNormal="13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390" t="str">
        <f>'Single Audit Cover'!A7</f>
        <v>Seneca CCSD 170</v>
      </c>
      <c r="C1" s="2433"/>
      <c r="D1" s="2433"/>
      <c r="E1" s="2433"/>
      <c r="F1" s="2433"/>
      <c r="G1" s="2433"/>
      <c r="H1" s="2433"/>
      <c r="I1" s="2433"/>
      <c r="J1" s="2433"/>
      <c r="K1" s="2433"/>
      <c r="L1" s="2433"/>
      <c r="M1" s="2433"/>
    </row>
    <row r="2" spans="2:14" ht="15" x14ac:dyDescent="0.2">
      <c r="B2" s="2434">
        <f>'Single Audit Cover'!E7</f>
        <v>35050170004</v>
      </c>
      <c r="C2" s="2434"/>
      <c r="D2" s="2434"/>
      <c r="E2" s="2434"/>
      <c r="F2" s="2434"/>
      <c r="G2" s="2434"/>
      <c r="H2" s="2434"/>
      <c r="I2" s="2434"/>
      <c r="J2" s="2434"/>
      <c r="K2" s="2434"/>
      <c r="L2" s="2434"/>
      <c r="M2" s="2434"/>
      <c r="N2" s="1295"/>
    </row>
    <row r="3" spans="2:14" ht="15" x14ac:dyDescent="0.2">
      <c r="B3" s="2435" t="s">
        <v>1219</v>
      </c>
      <c r="C3" s="2435"/>
      <c r="D3" s="2435"/>
      <c r="E3" s="2435"/>
      <c r="F3" s="2435"/>
      <c r="G3" s="2435"/>
      <c r="H3" s="2435"/>
      <c r="I3" s="2435"/>
      <c r="J3" s="2435"/>
      <c r="K3" s="2435"/>
      <c r="L3" s="2435"/>
      <c r="M3" s="2435"/>
      <c r="N3" s="1295"/>
    </row>
    <row r="4" spans="2:14" ht="15" x14ac:dyDescent="0.2">
      <c r="B4" s="2436" t="str">
        <f>'Single Audit Cover'!A4</f>
        <v>Year Ending June 30, 2019</v>
      </c>
      <c r="C4" s="2436"/>
      <c r="D4" s="2436"/>
      <c r="E4" s="2436"/>
      <c r="F4" s="2436"/>
      <c r="G4" s="2436"/>
      <c r="H4" s="2436"/>
      <c r="I4" s="2436"/>
      <c r="J4" s="2436"/>
      <c r="K4" s="2436"/>
      <c r="L4" s="2436"/>
      <c r="M4" s="2436"/>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Seneca CCSD 170</v>
      </c>
      <c r="B1" s="2438"/>
      <c r="C1" s="2438"/>
      <c r="D1" s="2438"/>
      <c r="E1" s="2438"/>
      <c r="F1" s="2438"/>
    </row>
    <row r="2" spans="1:7" ht="13.5" customHeight="1" x14ac:dyDescent="0.2">
      <c r="A2" s="2434">
        <f>'Single Audit Cover'!E7</f>
        <v>35050170004</v>
      </c>
      <c r="B2" s="2434"/>
      <c r="C2" s="2434"/>
      <c r="D2" s="2434"/>
      <c r="E2" s="2434"/>
      <c r="F2" s="2434"/>
      <c r="G2" s="1268"/>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69" t="s">
        <v>1728</v>
      </c>
      <c r="C6" s="317"/>
      <c r="D6" s="317"/>
    </row>
    <row r="7" spans="1:7" ht="60.95" customHeight="1" x14ac:dyDescent="0.2">
      <c r="A7" s="2437" t="s">
        <v>1729</v>
      </c>
      <c r="B7" s="2437"/>
      <c r="C7" s="2437"/>
      <c r="D7" s="2437"/>
      <c r="E7" s="2437"/>
      <c r="F7" s="2437"/>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37" t="s">
        <v>1731</v>
      </c>
      <c r="B13" s="2437"/>
      <c r="C13" s="2437"/>
      <c r="D13" s="2437"/>
      <c r="E13" s="2437"/>
      <c r="F13" s="2437"/>
    </row>
    <row r="14" spans="1:7" ht="9.75" customHeight="1" x14ac:dyDescent="0.2">
      <c r="C14" s="1253"/>
      <c r="D14" s="1253"/>
    </row>
    <row r="15" spans="1:7" ht="13.5" customHeight="1" x14ac:dyDescent="0.2">
      <c r="C15" s="1842" t="s">
        <v>1270</v>
      </c>
      <c r="D15" s="2442" t="s">
        <v>1269</v>
      </c>
      <c r="E15" s="2442"/>
      <c r="F15" s="2442"/>
    </row>
    <row r="16" spans="1:7" ht="13.5" customHeight="1" x14ac:dyDescent="0.2">
      <c r="A16" s="1275"/>
      <c r="B16" s="1269" t="s">
        <v>1268</v>
      </c>
      <c r="C16" s="1842" t="s">
        <v>1267</v>
      </c>
      <c r="D16" s="2443" t="s">
        <v>1588</v>
      </c>
      <c r="E16" s="2443"/>
      <c r="F16" s="2443"/>
    </row>
    <row r="17" spans="1:6" ht="20.45" customHeight="1" x14ac:dyDescent="0.2">
      <c r="A17" s="1276"/>
      <c r="B17" s="1277"/>
      <c r="C17" s="1278"/>
      <c r="D17" s="2441"/>
      <c r="E17" s="2441"/>
      <c r="F17" s="2441"/>
    </row>
    <row r="18" spans="1:6" ht="20.65" customHeight="1" x14ac:dyDescent="0.2">
      <c r="A18" s="1276"/>
      <c r="B18" s="1277"/>
      <c r="C18" s="1278"/>
      <c r="D18" s="2441"/>
      <c r="E18" s="2441"/>
      <c r="F18" s="2441"/>
    </row>
    <row r="19" spans="1:6" ht="20.65" customHeight="1" x14ac:dyDescent="0.2">
      <c r="A19" s="1276"/>
      <c r="B19" s="1277"/>
      <c r="C19" s="1278"/>
      <c r="D19" s="2441"/>
      <c r="E19" s="2441"/>
      <c r="F19" s="2441"/>
    </row>
    <row r="20" spans="1:6" ht="20.65" customHeight="1" x14ac:dyDescent="0.2">
      <c r="A20" s="1276"/>
      <c r="B20" s="1277"/>
      <c r="C20" s="1278"/>
      <c r="D20" s="2441"/>
      <c r="E20" s="2441"/>
      <c r="F20" s="2441"/>
    </row>
    <row r="21" spans="1:6" ht="20.65" customHeight="1" x14ac:dyDescent="0.2">
      <c r="A21" s="1276"/>
      <c r="B21" s="1277"/>
      <c r="C21" s="1278"/>
      <c r="D21" s="2441"/>
      <c r="E21" s="2441"/>
      <c r="F21" s="2441"/>
    </row>
    <row r="22" spans="1:6" ht="20.65" customHeight="1" x14ac:dyDescent="0.2">
      <c r="A22" s="1276"/>
      <c r="B22" s="1277"/>
      <c r="C22" s="1278"/>
      <c r="D22" s="2441"/>
      <c r="E22" s="2441"/>
      <c r="F22" s="2441"/>
    </row>
    <row r="23" spans="1:6" ht="20.65" customHeight="1" x14ac:dyDescent="0.2">
      <c r="A23" s="1276"/>
      <c r="B23" s="1277"/>
      <c r="C23" s="1278"/>
      <c r="D23" s="2441"/>
      <c r="E23" s="2441"/>
      <c r="F23" s="2441"/>
    </row>
    <row r="24" spans="1:6" ht="20.65" customHeight="1" x14ac:dyDescent="0.2">
      <c r="A24" s="1276"/>
      <c r="B24" s="1277"/>
      <c r="C24" s="1278"/>
      <c r="D24" s="2441"/>
      <c r="E24" s="2441"/>
      <c r="F24" s="2441"/>
    </row>
    <row r="25" spans="1:6" ht="20.65" customHeight="1" x14ac:dyDescent="0.2">
      <c r="A25" s="1276"/>
      <c r="B25" s="1277"/>
      <c r="C25" s="1278"/>
      <c r="D25" s="2441"/>
      <c r="E25" s="2441"/>
      <c r="F25" s="2441"/>
    </row>
    <row r="26" spans="1:6" ht="20.65" customHeight="1" x14ac:dyDescent="0.2">
      <c r="A26" s="1276"/>
      <c r="B26" s="1277"/>
      <c r="C26" s="1278"/>
      <c r="D26" s="2441"/>
      <c r="E26" s="2441"/>
      <c r="F26" s="2441"/>
    </row>
    <row r="27" spans="1:6" ht="20.65" customHeight="1" x14ac:dyDescent="0.2">
      <c r="A27" s="1276"/>
      <c r="B27" s="1277"/>
      <c r="C27" s="1278"/>
      <c r="D27" s="2441"/>
      <c r="E27" s="2441"/>
      <c r="F27" s="2441"/>
    </row>
    <row r="28" spans="1:6" ht="20.65" customHeight="1" x14ac:dyDescent="0.2">
      <c r="A28" s="1276"/>
      <c r="B28" s="1277"/>
      <c r="C28" s="1278"/>
      <c r="D28" s="2441"/>
      <c r="E28" s="2441"/>
      <c r="F28" s="2441"/>
    </row>
    <row r="29" spans="1:6" ht="20.65" customHeight="1" x14ac:dyDescent="0.2">
      <c r="A29" s="1276"/>
      <c r="B29" s="1277"/>
      <c r="C29" s="1278"/>
      <c r="D29" s="2441"/>
      <c r="E29" s="2441"/>
      <c r="F29" s="2441"/>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45" t="s">
        <v>1732</v>
      </c>
      <c r="B32" s="2445"/>
      <c r="C32" s="2445"/>
      <c r="D32" s="2445"/>
      <c r="E32" s="2445"/>
      <c r="F32" s="2445"/>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46">
        <f>+C33+C34</f>
        <v>0</v>
      </c>
      <c r="F34" s="2447"/>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48" t="s">
        <v>1590</v>
      </c>
      <c r="C49" s="2448"/>
      <c r="D49" s="2448"/>
      <c r="E49" s="1392"/>
    </row>
    <row r="50" spans="1:5" s="1293" customFormat="1" ht="3.75" customHeight="1" x14ac:dyDescent="0.2">
      <c r="A50" s="1292"/>
      <c r="B50" s="1841"/>
      <c r="C50" s="1841"/>
      <c r="D50" s="1841"/>
      <c r="E50" s="1392"/>
    </row>
    <row r="51" spans="1:5" s="1293" customFormat="1" ht="20.25" customHeight="1" x14ac:dyDescent="0.2">
      <c r="A51" s="1294">
        <v>6</v>
      </c>
      <c r="B51" s="2444" t="s">
        <v>1551</v>
      </c>
      <c r="C51" s="2444"/>
      <c r="D51" s="2444"/>
    </row>
    <row r="52" spans="1:5" ht="14.25" customHeight="1" x14ac:dyDescent="0.2">
      <c r="A52" s="1294"/>
      <c r="B52" s="2444"/>
      <c r="C52" s="2444"/>
      <c r="D52" s="2444"/>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51"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2098</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t="s">
        <v>2122</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Seneca CCSD 170</v>
      </c>
      <c r="C1" s="2454"/>
      <c r="D1" s="2454"/>
      <c r="E1" s="2454"/>
      <c r="F1" s="2454"/>
      <c r="G1" s="2454"/>
      <c r="H1" s="2454"/>
      <c r="I1" s="2454"/>
      <c r="J1" s="1402"/>
    </row>
    <row r="2" spans="2:10" s="317" customFormat="1" ht="12.75" customHeight="1" x14ac:dyDescent="0.2">
      <c r="B2" s="2455">
        <f>'Single Audit Cover'!E7</f>
        <v>35050170004</v>
      </c>
      <c r="C2" s="2456"/>
      <c r="D2" s="2456"/>
      <c r="E2" s="2456"/>
      <c r="F2" s="2456"/>
      <c r="G2" s="2456"/>
      <c r="H2" s="2456"/>
      <c r="I2" s="2456"/>
      <c r="J2" s="1402"/>
    </row>
    <row r="3" spans="2:10" s="317" customFormat="1" ht="12.75" customHeight="1" x14ac:dyDescent="0.2">
      <c r="B3" s="2457" t="s">
        <v>1285</v>
      </c>
      <c r="C3" s="2458"/>
      <c r="D3" s="2458"/>
      <c r="E3" s="2458"/>
      <c r="F3" s="2458"/>
      <c r="G3" s="2458"/>
      <c r="H3" s="2458"/>
      <c r="I3" s="2458"/>
      <c r="J3" s="1403"/>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57" t="s">
        <v>1284</v>
      </c>
      <c r="C7" s="2458"/>
      <c r="D7" s="2458"/>
      <c r="E7" s="2458"/>
      <c r="F7" s="2458"/>
      <c r="G7" s="2458"/>
      <c r="H7" s="2458"/>
      <c r="I7" s="2458"/>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59"/>
      <c r="D11" s="2459"/>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60"/>
      <c r="E29" s="2460"/>
      <c r="F29" s="2460"/>
      <c r="G29" s="2460"/>
      <c r="H29" s="2460"/>
      <c r="I29" s="2460"/>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61" t="s">
        <v>1751</v>
      </c>
      <c r="D37" s="2462"/>
      <c r="E37" s="2462"/>
      <c r="F37" s="2463"/>
      <c r="G37" s="2461" t="s">
        <v>1592</v>
      </c>
      <c r="H37" s="2462"/>
      <c r="I37" s="2463"/>
    </row>
    <row r="38" spans="2:9" ht="16.5" customHeight="1" x14ac:dyDescent="0.2">
      <c r="B38" s="1424"/>
      <c r="C38" s="2449"/>
      <c r="D38" s="2450"/>
      <c r="E38" s="2450"/>
      <c r="F38" s="2451"/>
      <c r="G38" s="2464"/>
      <c r="H38" s="2465"/>
      <c r="I38" s="2466"/>
    </row>
    <row r="39" spans="2:9" ht="16.5" customHeight="1" x14ac:dyDescent="0.2">
      <c r="B39" s="1424"/>
      <c r="C39" s="2449"/>
      <c r="D39" s="2450"/>
      <c r="E39" s="2450"/>
      <c r="F39" s="2451"/>
      <c r="G39" s="2452"/>
      <c r="H39" s="2452"/>
      <c r="I39" s="2452"/>
    </row>
    <row r="40" spans="2:9" ht="16.5" customHeight="1" x14ac:dyDescent="0.2">
      <c r="B40" s="1424"/>
      <c r="C40" s="2449"/>
      <c r="D40" s="2450"/>
      <c r="E40" s="2450"/>
      <c r="F40" s="2451"/>
      <c r="G40" s="2452"/>
      <c r="H40" s="2452"/>
      <c r="I40" s="2452"/>
    </row>
    <row r="41" spans="2:9" ht="16.5" customHeight="1" x14ac:dyDescent="0.2">
      <c r="B41" s="1424"/>
      <c r="C41" s="2449"/>
      <c r="D41" s="2450"/>
      <c r="E41" s="2450"/>
      <c r="F41" s="2451"/>
      <c r="G41" s="2452"/>
      <c r="H41" s="2452"/>
      <c r="I41" s="2452"/>
    </row>
    <row r="42" spans="2:9" ht="16.5" customHeight="1" x14ac:dyDescent="0.2">
      <c r="B42" s="1424"/>
      <c r="C42" s="2449"/>
      <c r="D42" s="2450"/>
      <c r="E42" s="2450"/>
      <c r="F42" s="2451"/>
      <c r="G42" s="2452"/>
      <c r="H42" s="2452"/>
      <c r="I42" s="2452"/>
    </row>
    <row r="43" spans="2:9" ht="16.5" customHeight="1" x14ac:dyDescent="0.2">
      <c r="B43" s="1424"/>
      <c r="C43" s="2467" t="s">
        <v>1593</v>
      </c>
      <c r="D43" s="2468"/>
      <c r="E43" s="2468"/>
      <c r="F43" s="2469"/>
      <c r="G43" s="2470">
        <f>SUM(G38:I42)</f>
        <v>0</v>
      </c>
      <c r="H43" s="2470"/>
      <c r="I43" s="2470"/>
    </row>
    <row r="44" spans="2:9" ht="12.75" customHeight="1" x14ac:dyDescent="0.2"/>
    <row r="45" spans="2:9" ht="12.75" customHeight="1" x14ac:dyDescent="0.2">
      <c r="B45" s="1415" t="s">
        <v>1841</v>
      </c>
      <c r="D45" s="2471">
        <v>0</v>
      </c>
      <c r="E45" s="2472"/>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73"/>
      <c r="F49" s="2473"/>
      <c r="G49" s="2473"/>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Seneca CCSD 170</v>
      </c>
      <c r="C1" s="2453"/>
      <c r="D1" s="2453"/>
      <c r="E1" s="2453"/>
      <c r="F1" s="2453"/>
      <c r="G1" s="2453"/>
      <c r="H1" s="2453"/>
      <c r="I1" s="2453"/>
      <c r="J1" s="2453"/>
      <c r="K1" s="2453"/>
      <c r="L1" s="1367"/>
      <c r="M1" s="1367"/>
    </row>
    <row r="2" spans="1:13" ht="12" customHeight="1" x14ac:dyDescent="0.2">
      <c r="B2" s="2455">
        <f>'Single Audit Cover'!E7</f>
        <v>35050170004</v>
      </c>
      <c r="C2" s="2455"/>
      <c r="D2" s="2455"/>
      <c r="E2" s="2455"/>
      <c r="F2" s="2455"/>
      <c r="G2" s="2455"/>
      <c r="H2" s="2455"/>
      <c r="I2" s="2455"/>
      <c r="J2" s="2455"/>
      <c r="K2" s="2455"/>
      <c r="L2" s="1368"/>
      <c r="M2" s="1369"/>
    </row>
    <row r="3" spans="1:13" ht="10.35" customHeight="1" x14ac:dyDescent="0.2">
      <c r="B3" s="2476" t="s">
        <v>1285</v>
      </c>
      <c r="C3" s="2476"/>
      <c r="D3" s="2476"/>
      <c r="E3" s="2476"/>
      <c r="F3" s="2476"/>
      <c r="G3" s="2476"/>
      <c r="H3" s="2476"/>
      <c r="I3" s="2476"/>
      <c r="J3" s="2476"/>
      <c r="K3" s="2476"/>
      <c r="L3" s="1370"/>
      <c r="M3" s="1370"/>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77" t="s">
        <v>1296</v>
      </c>
      <c r="C7" s="2477"/>
      <c r="D7" s="2478"/>
      <c r="E7" s="2478"/>
      <c r="F7" s="2478"/>
      <c r="G7" s="2478"/>
      <c r="H7" s="2478"/>
      <c r="I7" s="2478"/>
      <c r="J7" s="2478"/>
      <c r="K7" s="2478"/>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t="s">
        <v>2097</v>
      </c>
      <c r="E10" s="322"/>
      <c r="F10" s="1380" t="s">
        <v>1295</v>
      </c>
      <c r="G10" s="1381"/>
      <c r="H10" s="1382" t="s">
        <v>1294</v>
      </c>
      <c r="I10" s="1381"/>
      <c r="J10" s="1383" t="s">
        <v>1293</v>
      </c>
      <c r="K10" s="322"/>
      <c r="L10" s="1374"/>
    </row>
    <row r="11" spans="1:13" ht="13.5" customHeight="1" x14ac:dyDescent="0.2">
      <c r="B11" s="322"/>
      <c r="C11" s="322"/>
      <c r="D11" s="322"/>
      <c r="E11" s="322"/>
      <c r="F11" s="322"/>
      <c r="G11" s="1376"/>
      <c r="H11" s="322"/>
      <c r="I11" s="1384" t="s">
        <v>1292</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75"/>
      <c r="C14" s="2475"/>
      <c r="D14" s="2475"/>
      <c r="E14" s="2475"/>
      <c r="F14" s="2475"/>
      <c r="G14" s="2475"/>
      <c r="H14" s="2475"/>
      <c r="I14" s="2475"/>
      <c r="J14" s="2475"/>
      <c r="K14" s="2475"/>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75"/>
      <c r="C17" s="2475"/>
      <c r="D17" s="2475"/>
      <c r="E17" s="2475"/>
      <c r="F17" s="2475"/>
      <c r="G17" s="2475"/>
      <c r="H17" s="2475"/>
      <c r="I17" s="2475"/>
      <c r="J17" s="2475"/>
      <c r="K17" s="2475"/>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79"/>
      <c r="C20" s="2479"/>
      <c r="D20" s="2475"/>
      <c r="E20" s="2475"/>
      <c r="F20" s="2475"/>
      <c r="G20" s="2475"/>
      <c r="H20" s="2475"/>
      <c r="I20" s="2475"/>
      <c r="J20" s="2475"/>
      <c r="K20" s="2475"/>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75"/>
      <c r="C23" s="2475"/>
      <c r="D23" s="2475"/>
      <c r="E23" s="2475"/>
      <c r="F23" s="2475"/>
      <c r="G23" s="2475"/>
      <c r="H23" s="2475"/>
      <c r="I23" s="2475"/>
      <c r="J23" s="2475"/>
      <c r="K23" s="2475"/>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75"/>
      <c r="C26" s="2475"/>
      <c r="D26" s="2475"/>
      <c r="E26" s="2475"/>
      <c r="F26" s="2475"/>
      <c r="G26" s="2475"/>
      <c r="H26" s="2475"/>
      <c r="I26" s="2475"/>
      <c r="J26" s="2475"/>
      <c r="K26" s="2475"/>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74"/>
      <c r="C29" s="2474"/>
      <c r="D29" s="2475"/>
      <c r="E29" s="2475"/>
      <c r="F29" s="2475"/>
      <c r="G29" s="2475"/>
      <c r="H29" s="2475"/>
      <c r="I29" s="2475"/>
      <c r="J29" s="2475"/>
      <c r="K29" s="2475"/>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74"/>
      <c r="C32" s="2474"/>
      <c r="D32" s="2475"/>
      <c r="E32" s="2475"/>
      <c r="F32" s="2475"/>
      <c r="G32" s="2475"/>
      <c r="H32" s="2475"/>
      <c r="I32" s="2475"/>
      <c r="J32" s="2475"/>
      <c r="K32" s="2475"/>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Seneca CCSD 170</v>
      </c>
      <c r="C1" s="2480"/>
      <c r="D1" s="2480"/>
      <c r="E1" s="2480"/>
      <c r="F1" s="2480"/>
      <c r="G1" s="2480"/>
      <c r="H1" s="2480"/>
      <c r="I1" s="2480"/>
      <c r="J1" s="2480"/>
      <c r="K1" s="2480"/>
      <c r="L1" s="1445"/>
    </row>
    <row r="2" spans="1:12" ht="12.75" customHeight="1" x14ac:dyDescent="0.2">
      <c r="B2" s="2481">
        <f>'Single Audit Cover'!E7</f>
        <v>35050170004</v>
      </c>
      <c r="C2" s="2481"/>
      <c r="D2" s="2481"/>
      <c r="E2" s="2481"/>
      <c r="F2" s="2481"/>
      <c r="G2" s="2481"/>
      <c r="H2" s="2481"/>
      <c r="I2" s="2481"/>
      <c r="J2" s="2481"/>
      <c r="K2" s="2481"/>
      <c r="L2" s="1446"/>
    </row>
    <row r="3" spans="1:12" ht="12.75" customHeight="1" x14ac:dyDescent="0.2">
      <c r="B3" s="2476" t="s">
        <v>1285</v>
      </c>
      <c r="C3" s="2476"/>
      <c r="D3" s="2476"/>
      <c r="E3" s="2476"/>
      <c r="F3" s="2476"/>
      <c r="G3" s="2476"/>
      <c r="H3" s="2476"/>
      <c r="I3" s="2476"/>
      <c r="J3" s="2476"/>
      <c r="K3" s="2476"/>
      <c r="L3" s="1370"/>
    </row>
    <row r="4" spans="1:12" ht="12.75" customHeight="1" x14ac:dyDescent="0.2">
      <c r="B4" s="2476" t="str">
        <f>'Single Audit Cover'!A4</f>
        <v>Year Ending June 30, 2019</v>
      </c>
      <c r="C4" s="2476"/>
      <c r="D4" s="2476"/>
      <c r="E4" s="2476"/>
      <c r="F4" s="2476"/>
      <c r="G4" s="2476"/>
      <c r="H4" s="2476"/>
      <c r="I4" s="2476"/>
      <c r="J4" s="2476"/>
      <c r="K4" s="2476"/>
      <c r="L4" s="1370"/>
    </row>
    <row r="5" spans="1:12" ht="5.25" customHeight="1" x14ac:dyDescent="0.2">
      <c r="B5" s="1253" t="s">
        <v>1169</v>
      </c>
      <c r="C5" s="1253"/>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60"/>
      <c r="G12" s="2460"/>
      <c r="H12" s="2460"/>
      <c r="I12" s="2460"/>
      <c r="J12" s="2460"/>
      <c r="K12" s="2460"/>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483"/>
      <c r="E14" s="2483"/>
      <c r="F14" s="2483"/>
      <c r="H14" s="1455" t="s">
        <v>1303</v>
      </c>
      <c r="I14" s="2484"/>
      <c r="J14" s="2484"/>
      <c r="K14" s="2484"/>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484"/>
      <c r="E16" s="2484"/>
      <c r="F16" s="2484"/>
      <c r="G16" s="2484"/>
      <c r="H16" s="2484"/>
      <c r="I16" s="2484"/>
      <c r="J16" s="2484"/>
      <c r="K16" s="2484"/>
      <c r="L16" s="322"/>
    </row>
    <row r="17" spans="2:12" ht="13.5" customHeight="1" x14ac:dyDescent="0.2">
      <c r="B17" s="1380" t="s">
        <v>1301</v>
      </c>
      <c r="C17" s="1380"/>
      <c r="D17" s="2485"/>
      <c r="E17" s="2485"/>
      <c r="F17" s="2485"/>
      <c r="G17" s="2485"/>
      <c r="H17" s="2485"/>
      <c r="I17" s="2485"/>
      <c r="J17" s="2485"/>
      <c r="K17" s="2485"/>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75"/>
      <c r="C20" s="2475"/>
      <c r="D20" s="2475"/>
      <c r="E20" s="2475"/>
      <c r="F20" s="2475"/>
      <c r="G20" s="2475"/>
      <c r="H20" s="2475"/>
      <c r="I20" s="2475"/>
      <c r="J20" s="2475"/>
      <c r="K20" s="2475"/>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53" t="str">
        <f>'Single Audit Cover'!A7</f>
        <v>Seneca CCSD 170</v>
      </c>
      <c r="C1" s="2453"/>
      <c r="D1" s="2453"/>
      <c r="E1" s="1465"/>
    </row>
    <row r="2" spans="2:5" s="1275" customFormat="1" ht="12.75" customHeight="1" x14ac:dyDescent="0.2">
      <c r="B2" s="2455">
        <f>'Single Audit Cover'!E7</f>
        <v>35050170004</v>
      </c>
      <c r="C2" s="2455"/>
      <c r="D2" s="2455"/>
      <c r="E2" s="1466"/>
    </row>
    <row r="3" spans="2:5" ht="12.75" customHeight="1" x14ac:dyDescent="0.2">
      <c r="B3" s="2476" t="s">
        <v>1766</v>
      </c>
      <c r="C3" s="2476"/>
      <c r="D3" s="2476"/>
      <c r="E3" s="1267"/>
    </row>
    <row r="4" spans="2:5" s="1275" customFormat="1" ht="12.75" customHeight="1" x14ac:dyDescent="0.2">
      <c r="B4" s="2486" t="str">
        <f>'Single Audit Cover'!A4</f>
        <v>Year Ending June 30, 2019</v>
      </c>
      <c r="C4" s="2486"/>
      <c r="D4" s="2486"/>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2096</v>
      </c>
      <c r="C7" s="324"/>
      <c r="D7" s="324"/>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534564155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9.2902000000000002E-3</v>
      </c>
      <c r="E10" s="356" t="s">
        <v>1005</v>
      </c>
      <c r="F10" s="355">
        <v>2.2975999999999999E-3</v>
      </c>
      <c r="G10" s="356" t="s">
        <v>1005</v>
      </c>
      <c r="H10" s="355">
        <v>5.7700000000000004E-4</v>
      </c>
      <c r="I10" s="356" t="s">
        <v>1006</v>
      </c>
      <c r="J10" s="1728">
        <f>ROUND(D10+F10+H10,5)</f>
        <v>1.2160000000000001E-2</v>
      </c>
      <c r="K10" s="222"/>
      <c r="L10" s="355">
        <v>2.1350000000000001E-4</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8478759</v>
      </c>
      <c r="E16" s="356"/>
      <c r="F16" s="1729">
        <f>SUM('Acct Summary 7-8'!C17,'Acct Summary 7-8'!D17,'Acct Summary 7-8'!F17)</f>
        <v>7898673</v>
      </c>
      <c r="G16" s="356"/>
      <c r="H16" s="1729">
        <f>SUM(D16-F16)</f>
        <v>580086</v>
      </c>
      <c r="I16" s="222"/>
      <c r="J16" s="1729">
        <f>SUM('Acct Summary 7-8'!C81,'Acct Summary 7-8'!D81,'Acct Summary 7-8'!F81,'Acct Summary 7-8'!I81)</f>
        <v>13613750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586</v>
      </c>
      <c r="D31" s="237" t="s">
        <v>1072</v>
      </c>
      <c r="E31" s="222"/>
      <c r="F31" s="222"/>
      <c r="G31" s="363"/>
      <c r="H31" s="1731">
        <f>IF(B31="X",(J7*0.069),IF(B32="X",(J7*0.138),"Enter x in a.or b."))</f>
        <v>36884926.695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Seneca CCSD 170</v>
      </c>
      <c r="E7" s="391"/>
      <c r="G7" s="252"/>
      <c r="H7" s="387"/>
      <c r="I7" s="387"/>
      <c r="J7" s="387"/>
      <c r="K7" s="387"/>
      <c r="L7" s="329"/>
      <c r="M7" s="329"/>
      <c r="N7" s="329"/>
      <c r="O7" s="329"/>
      <c r="P7" s="329"/>
    </row>
    <row r="8" spans="1:18" ht="12.75" x14ac:dyDescent="0.2">
      <c r="A8" s="329"/>
      <c r="B8" s="329"/>
      <c r="C8" s="389" t="s">
        <v>1125</v>
      </c>
      <c r="D8" s="392">
        <f>COVER!A13</f>
        <v>35050170004</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13613750</v>
      </c>
      <c r="I12" s="404"/>
      <c r="J12" s="404"/>
      <c r="K12" s="405">
        <f>TRUNC((H12/H13*100000),5)/100000</f>
        <v>1.6056300219999999</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8478759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7898673</v>
      </c>
      <c r="I17" s="404"/>
      <c r="J17" s="416"/>
      <c r="K17" s="405">
        <f>TRUNC((H17/H18*100000),5)/100000</f>
        <v>0.93158361970000003</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8478759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13613750</v>
      </c>
      <c r="I24" s="422"/>
      <c r="J24" s="422"/>
      <c r="K24" s="423">
        <f>TRUNC(((H24/H25*100000)/100000),2)</f>
        <v>620.47</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21940.758330000001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5525255.1060800003</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36884926.695</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A18" sqref="A18"/>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5"/>
      <c r="D3" s="1556"/>
      <c r="E3" s="1556"/>
      <c r="F3" s="1556"/>
      <c r="G3" s="1556"/>
      <c r="H3" s="1556"/>
      <c r="I3" s="1556"/>
      <c r="J3" s="1556"/>
      <c r="K3" s="1556"/>
      <c r="L3" s="1556"/>
      <c r="M3" s="1557"/>
      <c r="N3" s="1558"/>
    </row>
    <row r="4" spans="1:14" ht="13.5" customHeight="1" x14ac:dyDescent="0.2">
      <c r="A4" s="463" t="s">
        <v>1651</v>
      </c>
      <c r="B4" s="464"/>
      <c r="C4" s="465">
        <v>384535</v>
      </c>
      <c r="D4" s="465">
        <v>30821</v>
      </c>
      <c r="E4" s="465">
        <v>0</v>
      </c>
      <c r="F4" s="465">
        <v>20172</v>
      </c>
      <c r="G4" s="465">
        <v>63520</v>
      </c>
      <c r="H4" s="465">
        <v>5066</v>
      </c>
      <c r="I4" s="465">
        <v>0</v>
      </c>
      <c r="J4" s="465">
        <v>1270</v>
      </c>
      <c r="K4" s="465">
        <v>0</v>
      </c>
      <c r="L4" s="465">
        <v>9672</v>
      </c>
      <c r="M4" s="468"/>
      <c r="N4" s="469"/>
    </row>
    <row r="5" spans="1:14" x14ac:dyDescent="0.2">
      <c r="A5" s="463" t="s">
        <v>992</v>
      </c>
      <c r="B5" s="470">
        <v>120</v>
      </c>
      <c r="C5" s="465">
        <v>11346103</v>
      </c>
      <c r="D5" s="465">
        <v>760862</v>
      </c>
      <c r="E5" s="465">
        <v>35460</v>
      </c>
      <c r="F5" s="465">
        <v>311507</v>
      </c>
      <c r="G5" s="465">
        <v>189914</v>
      </c>
      <c r="H5" s="465">
        <v>26121</v>
      </c>
      <c r="I5" s="465">
        <v>759750</v>
      </c>
      <c r="J5" s="465">
        <v>59462</v>
      </c>
      <c r="K5" s="465">
        <v>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11730638</v>
      </c>
      <c r="D13" s="1733">
        <f t="shared" ref="D13:L13" si="0">SUM(D4:D12)</f>
        <v>791683</v>
      </c>
      <c r="E13" s="1733">
        <f t="shared" si="0"/>
        <v>35460</v>
      </c>
      <c r="F13" s="1733">
        <f t="shared" si="0"/>
        <v>331679</v>
      </c>
      <c r="G13" s="1733">
        <f t="shared" si="0"/>
        <v>253434</v>
      </c>
      <c r="H13" s="1733">
        <f t="shared" si="0"/>
        <v>31187</v>
      </c>
      <c r="I13" s="1733">
        <f t="shared" si="0"/>
        <v>759750</v>
      </c>
      <c r="J13" s="1733">
        <f t="shared" si="0"/>
        <v>60732</v>
      </c>
      <c r="K13" s="1733">
        <f t="shared" si="0"/>
        <v>0</v>
      </c>
      <c r="L13" s="1733">
        <f t="shared" si="0"/>
        <v>9672</v>
      </c>
      <c r="M13" s="468"/>
      <c r="N13" s="469"/>
    </row>
    <row r="14" spans="1:14" ht="18" customHeight="1" thickTop="1" x14ac:dyDescent="0.2">
      <c r="A14" s="2110" t="s">
        <v>147</v>
      </c>
      <c r="B14" s="2111"/>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v>0</v>
      </c>
      <c r="N15" s="482"/>
    </row>
    <row r="16" spans="1:14" s="483" customFormat="1" ht="12.75" customHeight="1" x14ac:dyDescent="0.2">
      <c r="A16" s="480" t="s">
        <v>1402</v>
      </c>
      <c r="B16" s="481">
        <v>220</v>
      </c>
      <c r="C16" s="475"/>
      <c r="D16" s="475"/>
      <c r="E16" s="475"/>
      <c r="F16" s="475"/>
      <c r="G16" s="475"/>
      <c r="H16" s="475"/>
      <c r="I16" s="475"/>
      <c r="J16" s="475"/>
      <c r="K16" s="475"/>
      <c r="L16" s="475"/>
      <c r="M16" s="465">
        <v>3498102</v>
      </c>
      <c r="N16" s="482"/>
    </row>
    <row r="17" spans="1:14" s="483" customFormat="1" ht="12.75" customHeight="1" x14ac:dyDescent="0.2">
      <c r="A17" s="480" t="s">
        <v>1403</v>
      </c>
      <c r="B17" s="481">
        <v>230</v>
      </c>
      <c r="C17" s="475"/>
      <c r="D17" s="475"/>
      <c r="E17" s="475"/>
      <c r="F17" s="475"/>
      <c r="G17" s="475"/>
      <c r="H17" s="475"/>
      <c r="I17" s="475"/>
      <c r="J17" s="475"/>
      <c r="K17" s="475"/>
      <c r="L17" s="475"/>
      <c r="M17" s="465">
        <v>31975043</v>
      </c>
      <c r="N17" s="482"/>
    </row>
    <row r="18" spans="1:14" s="483" customFormat="1" ht="12.75" customHeight="1" x14ac:dyDescent="0.2">
      <c r="A18" s="480" t="s">
        <v>1404</v>
      </c>
      <c r="B18" s="481">
        <v>240</v>
      </c>
      <c r="C18" s="475"/>
      <c r="D18" s="475"/>
      <c r="E18" s="475"/>
      <c r="F18" s="475"/>
      <c r="G18" s="475"/>
      <c r="H18" s="475"/>
      <c r="I18" s="475"/>
      <c r="J18" s="475"/>
      <c r="K18" s="475"/>
      <c r="L18" s="475"/>
      <c r="M18" s="465">
        <v>2223096</v>
      </c>
      <c r="N18" s="482"/>
    </row>
    <row r="19" spans="1:14" s="483" customFormat="1" ht="12.75" customHeight="1" x14ac:dyDescent="0.2">
      <c r="A19" s="480" t="s">
        <v>1405</v>
      </c>
      <c r="B19" s="481">
        <v>250</v>
      </c>
      <c r="C19" s="475"/>
      <c r="D19" s="475"/>
      <c r="E19" s="475"/>
      <c r="F19" s="475"/>
      <c r="G19" s="475"/>
      <c r="H19" s="475"/>
      <c r="I19" s="475"/>
      <c r="J19" s="475"/>
      <c r="K19" s="475"/>
      <c r="L19" s="475"/>
      <c r="M19" s="465">
        <v>2803591</v>
      </c>
      <c r="N19" s="482"/>
    </row>
    <row r="20" spans="1:14" s="483" customFormat="1" ht="12.75" customHeight="1" x14ac:dyDescent="0.2">
      <c r="A20" s="480" t="s">
        <v>1406</v>
      </c>
      <c r="B20" s="481">
        <v>260</v>
      </c>
      <c r="C20" s="475"/>
      <c r="D20" s="475"/>
      <c r="E20" s="475"/>
      <c r="F20" s="475"/>
      <c r="G20" s="475"/>
      <c r="H20" s="475"/>
      <c r="I20" s="475"/>
      <c r="J20" s="475"/>
      <c r="K20" s="475"/>
      <c r="L20" s="475"/>
      <c r="M20" s="465">
        <v>43241</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35460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-35460</v>
      </c>
    </row>
    <row r="23" spans="1:14" ht="13.5" customHeight="1" thickBot="1" x14ac:dyDescent="0.25">
      <c r="A23" s="1732" t="s">
        <v>643</v>
      </c>
      <c r="B23" s="1737"/>
      <c r="C23" s="468"/>
      <c r="D23" s="468"/>
      <c r="E23" s="468"/>
      <c r="F23" s="468"/>
      <c r="G23" s="468"/>
      <c r="H23" s="468"/>
      <c r="I23" s="468"/>
      <c r="J23" s="468"/>
      <c r="K23" s="468"/>
      <c r="L23" s="468"/>
      <c r="M23" s="1684">
        <f>SUM(M15:M22)</f>
        <v>40543073</v>
      </c>
      <c r="N23" s="1684">
        <f>SUM(N21:N22)</f>
        <v>0</v>
      </c>
    </row>
    <row r="24" spans="1:14" ht="18" customHeight="1" thickTop="1" x14ac:dyDescent="0.2">
      <c r="A24" s="2112" t="s">
        <v>598</v>
      </c>
      <c r="B24" s="2113"/>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6080</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6080</v>
      </c>
      <c r="M34" s="468"/>
      <c r="N34" s="478"/>
    </row>
    <row r="35" spans="1:14" ht="18" customHeight="1" thickTop="1" x14ac:dyDescent="0.2">
      <c r="A35" s="2114" t="s">
        <v>529</v>
      </c>
      <c r="B35" s="2115"/>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2" t="s">
        <v>653</v>
      </c>
      <c r="B37" s="1737"/>
      <c r="C37" s="475"/>
      <c r="D37" s="475"/>
      <c r="E37" s="475"/>
      <c r="F37" s="475"/>
      <c r="G37" s="475"/>
      <c r="H37" s="475"/>
      <c r="I37" s="475"/>
      <c r="J37" s="475"/>
      <c r="K37" s="475"/>
      <c r="L37" s="478"/>
      <c r="M37" s="468"/>
      <c r="N37" s="1684">
        <f>SUM(N36:N36)</f>
        <v>0</v>
      </c>
    </row>
    <row r="38" spans="1:14" s="329" customFormat="1" ht="13.5" customHeight="1" thickTop="1" x14ac:dyDescent="0.2">
      <c r="A38" s="493" t="s">
        <v>420</v>
      </c>
      <c r="B38" s="481">
        <v>714</v>
      </c>
      <c r="C38" s="465">
        <v>0</v>
      </c>
      <c r="D38" s="465">
        <v>0</v>
      </c>
      <c r="E38" s="465">
        <v>0</v>
      </c>
      <c r="F38" s="465">
        <v>0</v>
      </c>
      <c r="G38" s="465">
        <v>62761</v>
      </c>
      <c r="H38" s="465">
        <v>0</v>
      </c>
      <c r="I38" s="465">
        <v>0</v>
      </c>
      <c r="J38" s="465">
        <v>0</v>
      </c>
      <c r="K38" s="465">
        <v>0</v>
      </c>
      <c r="L38" s="465">
        <v>3592</v>
      </c>
      <c r="M38" s="494"/>
      <c r="N38" s="494"/>
    </row>
    <row r="39" spans="1:14" s="329" customFormat="1" ht="13.5" customHeight="1" x14ac:dyDescent="0.2">
      <c r="A39" s="493" t="s">
        <v>342</v>
      </c>
      <c r="B39" s="481">
        <v>730</v>
      </c>
      <c r="C39" s="465">
        <v>11730638</v>
      </c>
      <c r="D39" s="465">
        <v>791683</v>
      </c>
      <c r="E39" s="465">
        <v>35460</v>
      </c>
      <c r="F39" s="465">
        <v>331679</v>
      </c>
      <c r="G39" s="465">
        <v>190673</v>
      </c>
      <c r="H39" s="465">
        <v>31187</v>
      </c>
      <c r="I39" s="465">
        <v>759750</v>
      </c>
      <c r="J39" s="465">
        <v>60732</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40543073</v>
      </c>
      <c r="N40" s="494"/>
    </row>
    <row r="41" spans="1:14" ht="13.5" customHeight="1" thickBot="1" x14ac:dyDescent="0.25">
      <c r="A41" s="1732" t="s">
        <v>655</v>
      </c>
      <c r="B41" s="1702"/>
      <c r="C41" s="1684">
        <f>(SUM(C34,C37,C38,C39))</f>
        <v>11730638</v>
      </c>
      <c r="D41" s="1684">
        <f t="shared" ref="D41:L41" si="2">SUM(D34,D37,D38:D39)</f>
        <v>791683</v>
      </c>
      <c r="E41" s="1684">
        <f t="shared" si="2"/>
        <v>35460</v>
      </c>
      <c r="F41" s="1684">
        <f t="shared" si="2"/>
        <v>331679</v>
      </c>
      <c r="G41" s="1684">
        <f t="shared" si="2"/>
        <v>253434</v>
      </c>
      <c r="H41" s="1684">
        <f t="shared" si="2"/>
        <v>31187</v>
      </c>
      <c r="I41" s="1684">
        <f t="shared" si="2"/>
        <v>759750</v>
      </c>
      <c r="J41" s="1684">
        <f t="shared" si="2"/>
        <v>60732</v>
      </c>
      <c r="K41" s="1684">
        <f t="shared" si="2"/>
        <v>0</v>
      </c>
      <c r="L41" s="1684">
        <f t="shared" si="2"/>
        <v>9672</v>
      </c>
      <c r="M41" s="1684">
        <f>SUM(M40)</f>
        <v>40543073</v>
      </c>
      <c r="N41" s="1684">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A18" sqref="A18"/>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24"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6" t="s">
        <v>1175</v>
      </c>
      <c r="B3" s="2137"/>
      <c r="C3" s="1569"/>
      <c r="D3" s="1570"/>
      <c r="E3" s="1570"/>
      <c r="F3" s="1570"/>
      <c r="G3" s="1570"/>
      <c r="H3" s="1570"/>
      <c r="I3" s="1570"/>
      <c r="J3" s="1570"/>
      <c r="K3" s="1571"/>
      <c r="L3" s="503"/>
    </row>
    <row r="4" spans="1:13" ht="15.75" customHeight="1" x14ac:dyDescent="0.2">
      <c r="A4" s="1924" t="s">
        <v>1499</v>
      </c>
      <c r="B4" s="1925">
        <v>1000</v>
      </c>
      <c r="C4" s="1738">
        <f>'Revenues 9-14'!C109</f>
        <v>5960343</v>
      </c>
      <c r="D4" s="1738">
        <f>'Revenues 9-14'!D109</f>
        <v>1292224</v>
      </c>
      <c r="E4" s="1738">
        <f>'Revenues 9-14'!E109</f>
        <v>669</v>
      </c>
      <c r="F4" s="1738">
        <f>'Revenues 9-14'!F109</f>
        <v>245303</v>
      </c>
      <c r="G4" s="1738">
        <f>'Revenues 9-14'!G109</f>
        <v>235728</v>
      </c>
      <c r="H4" s="1738">
        <f>'Revenues 9-14'!H109</f>
        <v>1305</v>
      </c>
      <c r="I4" s="1738">
        <f>'Revenues 9-14'!I109</f>
        <v>120546</v>
      </c>
      <c r="J4" s="1738">
        <f>'Revenues 9-14'!J109</f>
        <v>107536</v>
      </c>
      <c r="K4" s="1738">
        <f>'Revenues 9-14'!K109</f>
        <v>0</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445761</v>
      </c>
      <c r="D6" s="1739">
        <f>'Revenues 9-14'!D170</f>
        <v>0</v>
      </c>
      <c r="E6" s="1739">
        <f>'Revenues 9-14'!E170</f>
        <v>0</v>
      </c>
      <c r="F6" s="1739">
        <f>'Revenues 9-14'!F170</f>
        <v>55946</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358636</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6764740</v>
      </c>
      <c r="D8" s="1684">
        <f t="shared" ref="D8:K8" si="0">SUM(D4:D7)</f>
        <v>1292224</v>
      </c>
      <c r="E8" s="1684">
        <f t="shared" si="0"/>
        <v>669</v>
      </c>
      <c r="F8" s="1684">
        <f t="shared" si="0"/>
        <v>301249</v>
      </c>
      <c r="G8" s="1684">
        <f t="shared" si="0"/>
        <v>235728</v>
      </c>
      <c r="H8" s="1684">
        <f t="shared" si="0"/>
        <v>1305</v>
      </c>
      <c r="I8" s="1684">
        <f t="shared" si="0"/>
        <v>120546</v>
      </c>
      <c r="J8" s="1684">
        <f t="shared" si="0"/>
        <v>107536</v>
      </c>
      <c r="K8" s="1684">
        <f t="shared" si="0"/>
        <v>0</v>
      </c>
      <c r="L8" s="347"/>
    </row>
    <row r="9" spans="1:13" ht="15.75" thickTop="1" x14ac:dyDescent="0.2">
      <c r="A9" s="511" t="s">
        <v>1653</v>
      </c>
      <c r="B9" s="512">
        <v>3998</v>
      </c>
      <c r="C9" s="465">
        <v>2943138</v>
      </c>
      <c r="D9" s="513"/>
      <c r="E9" s="479"/>
      <c r="F9" s="479"/>
      <c r="G9" s="514"/>
      <c r="H9" s="479"/>
      <c r="I9" s="506" t="s">
        <v>1169</v>
      </c>
      <c r="J9" s="476"/>
      <c r="K9" s="479"/>
      <c r="L9" s="347"/>
    </row>
    <row r="10" spans="1:13" s="516" customFormat="1" ht="13.5" thickBot="1" x14ac:dyDescent="0.25">
      <c r="A10" s="1732" t="s">
        <v>1173</v>
      </c>
      <c r="B10" s="1705"/>
      <c r="C10" s="1684">
        <f>SUM(C8:C9)</f>
        <v>9707878</v>
      </c>
      <c r="D10" s="1684">
        <f t="shared" ref="D10:K10" si="1">SUM(D8:D9)</f>
        <v>1292224</v>
      </c>
      <c r="E10" s="1684">
        <f t="shared" si="1"/>
        <v>669</v>
      </c>
      <c r="F10" s="1684">
        <f t="shared" si="1"/>
        <v>301249</v>
      </c>
      <c r="G10" s="1684">
        <f t="shared" si="1"/>
        <v>235728</v>
      </c>
      <c r="H10" s="1684">
        <f t="shared" si="1"/>
        <v>1305</v>
      </c>
      <c r="I10" s="1684">
        <f t="shared" si="1"/>
        <v>120546</v>
      </c>
      <c r="J10" s="1684">
        <f t="shared" si="1"/>
        <v>107536</v>
      </c>
      <c r="K10" s="1684">
        <f t="shared" si="1"/>
        <v>0</v>
      </c>
      <c r="L10" s="515"/>
    </row>
    <row r="11" spans="1:13" s="516" customFormat="1" ht="16.7" customHeight="1" thickTop="1" x14ac:dyDescent="0.2">
      <c r="A11" s="2110" t="s">
        <v>1176</v>
      </c>
      <c r="B11" s="2111"/>
      <c r="C11" s="1566"/>
      <c r="D11" s="1567"/>
      <c r="E11" s="1567"/>
      <c r="F11" s="1567"/>
      <c r="G11" s="1567"/>
      <c r="H11" s="1567"/>
      <c r="I11" s="1567"/>
      <c r="J11" s="1567"/>
      <c r="K11" s="1568"/>
      <c r="L11" s="515"/>
    </row>
    <row r="12" spans="1:13" ht="15.75" customHeight="1" x14ac:dyDescent="0.2">
      <c r="A12" s="1572" t="s">
        <v>456</v>
      </c>
      <c r="B12" s="1574">
        <v>1000</v>
      </c>
      <c r="C12" s="1738">
        <f>'Expenditures 15-22'!K33</f>
        <v>4728516</v>
      </c>
      <c r="D12" s="517" t="s">
        <v>1169</v>
      </c>
      <c r="E12" s="468" t="s">
        <v>1169</v>
      </c>
      <c r="F12" s="468" t="s">
        <v>1169</v>
      </c>
      <c r="G12" s="1738">
        <f>'Expenditures 15-22'!K229</f>
        <v>98304</v>
      </c>
      <c r="H12" s="518"/>
      <c r="I12" s="468" t="s">
        <v>1169</v>
      </c>
      <c r="J12" s="468" t="s">
        <v>1169</v>
      </c>
      <c r="K12" s="518" t="s">
        <v>1169</v>
      </c>
      <c r="L12" s="347"/>
    </row>
    <row r="13" spans="1:13" ht="15.75" customHeight="1" x14ac:dyDescent="0.2">
      <c r="A13" s="1572" t="s">
        <v>457</v>
      </c>
      <c r="B13" s="1574">
        <v>2000</v>
      </c>
      <c r="C13" s="1739">
        <f>'Expenditures 15-22'!K74</f>
        <v>1764318</v>
      </c>
      <c r="D13" s="1739">
        <f>'Expenditures 15-22'!K129</f>
        <v>1007026</v>
      </c>
      <c r="E13" s="469" t="s">
        <v>1169</v>
      </c>
      <c r="F13" s="1739">
        <f>'Expenditures 15-22'!K184</f>
        <v>310983</v>
      </c>
      <c r="G13" s="1739">
        <f>'Expenditures 15-22'!K279</f>
        <v>157362</v>
      </c>
      <c r="H13" s="1739">
        <f>'Expenditures 15-22'!K303</f>
        <v>264785</v>
      </c>
      <c r="I13" s="468" t="s">
        <v>1169</v>
      </c>
      <c r="J13" s="1739">
        <f>'Expenditures 15-22'!K330</f>
        <v>101005</v>
      </c>
      <c r="K13" s="1743">
        <f>'Expenditures 15-22'!K352</f>
        <v>0</v>
      </c>
      <c r="L13" s="347"/>
    </row>
    <row r="14" spans="1:13" ht="15.75" customHeight="1" x14ac:dyDescent="0.2">
      <c r="A14" s="1572" t="s">
        <v>449</v>
      </c>
      <c r="B14" s="1574">
        <v>3000</v>
      </c>
      <c r="C14" s="1739">
        <f>'Expenditures 15-22'!K75</f>
        <v>1540</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86290</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0</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6580664</v>
      </c>
      <c r="D17" s="1684">
        <f t="shared" si="2"/>
        <v>1007026</v>
      </c>
      <c r="E17" s="1684">
        <f t="shared" si="2"/>
        <v>0</v>
      </c>
      <c r="F17" s="1684">
        <f t="shared" si="2"/>
        <v>310983</v>
      </c>
      <c r="G17" s="1684">
        <f t="shared" si="2"/>
        <v>255666</v>
      </c>
      <c r="H17" s="1684">
        <f t="shared" si="2"/>
        <v>264785</v>
      </c>
      <c r="I17" s="468"/>
      <c r="J17" s="1684">
        <f>SUM(J12:J16)</f>
        <v>101005</v>
      </c>
      <c r="K17" s="1684">
        <f>SUM(K12:K16)</f>
        <v>0</v>
      </c>
      <c r="L17" s="347"/>
    </row>
    <row r="18" spans="1:12" ht="15" customHeight="1" thickTop="1" x14ac:dyDescent="0.2">
      <c r="A18" s="1740" t="s">
        <v>1654</v>
      </c>
      <c r="B18" s="1741">
        <v>4180</v>
      </c>
      <c r="C18" s="1738">
        <f t="shared" ref="C18:H18" si="3">C9</f>
        <v>2943138</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9523802</v>
      </c>
      <c r="D19" s="1684">
        <f t="shared" si="4"/>
        <v>1007026</v>
      </c>
      <c r="E19" s="1684">
        <f t="shared" si="4"/>
        <v>0</v>
      </c>
      <c r="F19" s="1684">
        <f t="shared" si="4"/>
        <v>310983</v>
      </c>
      <c r="G19" s="1684">
        <f t="shared" si="4"/>
        <v>255666</v>
      </c>
      <c r="H19" s="1684">
        <f t="shared" si="4"/>
        <v>264785</v>
      </c>
      <c r="I19" s="468"/>
      <c r="J19" s="1684">
        <f>SUM(J17:J18)</f>
        <v>101005</v>
      </c>
      <c r="K19" s="1684">
        <f>SUM(K17:K18)</f>
        <v>0</v>
      </c>
      <c r="L19" s="347"/>
    </row>
    <row r="20" spans="1:12" ht="16.5" thickTop="1" thickBot="1" x14ac:dyDescent="0.25">
      <c r="A20" s="2126" t="s">
        <v>1655</v>
      </c>
      <c r="B20" s="2127"/>
      <c r="C20" s="1742">
        <f>C8-C17</f>
        <v>184076</v>
      </c>
      <c r="D20" s="1742">
        <f t="shared" ref="D20:K20" si="5">D8-D17</f>
        <v>285198</v>
      </c>
      <c r="E20" s="1742">
        <f t="shared" si="5"/>
        <v>669</v>
      </c>
      <c r="F20" s="1742">
        <f t="shared" si="5"/>
        <v>-9734</v>
      </c>
      <c r="G20" s="1742">
        <f t="shared" si="5"/>
        <v>-19938</v>
      </c>
      <c r="H20" s="1742">
        <f t="shared" si="5"/>
        <v>-263480</v>
      </c>
      <c r="I20" s="1742">
        <f t="shared" si="5"/>
        <v>120546</v>
      </c>
      <c r="J20" s="1742">
        <f t="shared" si="5"/>
        <v>6531</v>
      </c>
      <c r="K20" s="1742">
        <f t="shared" si="5"/>
        <v>0</v>
      </c>
      <c r="L20" s="347"/>
    </row>
    <row r="21" spans="1:12" ht="16.7" customHeight="1" thickTop="1" x14ac:dyDescent="0.2">
      <c r="A21" s="2138" t="s">
        <v>595</v>
      </c>
      <c r="B21" s="2139"/>
      <c r="C21" s="1566"/>
      <c r="D21" s="1567"/>
      <c r="E21" s="1567"/>
      <c r="F21" s="1567"/>
      <c r="G21" s="1567"/>
      <c r="H21" s="1567"/>
      <c r="I21" s="1567"/>
      <c r="J21" s="1567"/>
      <c r="K21" s="1568"/>
      <c r="L21" s="521"/>
    </row>
    <row r="22" spans="1:12" ht="15.75" customHeight="1" collapsed="1" x14ac:dyDescent="0.2">
      <c r="A22" s="2134" t="s">
        <v>596</v>
      </c>
      <c r="B22" s="2135"/>
      <c r="C22" s="475"/>
      <c r="D22" s="475"/>
      <c r="E22" s="475"/>
      <c r="F22" s="475"/>
      <c r="G22" s="475"/>
      <c r="H22" s="475"/>
      <c r="I22" s="475"/>
      <c r="J22" s="475"/>
      <c r="K22" s="475"/>
      <c r="L22" s="347"/>
    </row>
    <row r="23" spans="1:12" s="483" customFormat="1" ht="15.75" customHeight="1" x14ac:dyDescent="0.2">
      <c r="A23" s="2130" t="s">
        <v>293</v>
      </c>
      <c r="B23" s="2131"/>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32" t="s">
        <v>981</v>
      </c>
      <c r="B32" s="2133"/>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37512</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0</v>
      </c>
      <c r="F37" s="474"/>
      <c r="G37" s="474"/>
      <c r="H37" s="474"/>
      <c r="I37" s="475"/>
      <c r="J37" s="474"/>
      <c r="K37" s="474"/>
      <c r="L37" s="521"/>
    </row>
    <row r="38" spans="1:12" s="483" customFormat="1" x14ac:dyDescent="0.2">
      <c r="A38" s="1485" t="s">
        <v>442</v>
      </c>
      <c r="B38" s="522">
        <v>7500</v>
      </c>
      <c r="C38" s="475"/>
      <c r="D38" s="475"/>
      <c r="E38" s="1739">
        <f>SUM(C58:D61,H58:H61)</f>
        <v>0</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260000</v>
      </c>
      <c r="I43" s="467">
        <v>0</v>
      </c>
      <c r="J43" s="467">
        <v>0</v>
      </c>
      <c r="K43" s="467">
        <v>0</v>
      </c>
      <c r="L43" s="521"/>
    </row>
    <row r="44" spans="1:12" s="483" customFormat="1" ht="13.5" customHeight="1" thickBot="1" x14ac:dyDescent="0.25">
      <c r="A44" s="2140" t="s">
        <v>374</v>
      </c>
      <c r="B44" s="2141"/>
      <c r="C44" s="1699">
        <f>SUM(C24:C43)</f>
        <v>0</v>
      </c>
      <c r="D44" s="1699">
        <f t="shared" ref="D44:K44" si="6">SUM(D24:D43)</f>
        <v>37512</v>
      </c>
      <c r="E44" s="1699">
        <f t="shared" si="6"/>
        <v>0</v>
      </c>
      <c r="F44" s="1699">
        <f t="shared" si="6"/>
        <v>0</v>
      </c>
      <c r="G44" s="1699">
        <f t="shared" si="6"/>
        <v>0</v>
      </c>
      <c r="H44" s="1699">
        <f t="shared" si="6"/>
        <v>260000</v>
      </c>
      <c r="I44" s="1699">
        <f t="shared" si="6"/>
        <v>0</v>
      </c>
      <c r="J44" s="1699">
        <f t="shared" si="6"/>
        <v>0</v>
      </c>
      <c r="K44" s="1699">
        <f t="shared" si="6"/>
        <v>0</v>
      </c>
      <c r="L44" s="521"/>
    </row>
    <row r="45" spans="1:12" ht="15.75" customHeight="1" thickTop="1" x14ac:dyDescent="0.2">
      <c r="A45" s="2134" t="s">
        <v>108</v>
      </c>
      <c r="B45" s="2135"/>
      <c r="C45" s="525"/>
      <c r="D45" s="525"/>
      <c r="E45" s="525"/>
      <c r="F45" s="525"/>
      <c r="G45" s="525"/>
      <c r="H45" s="525"/>
      <c r="I45" s="525"/>
      <c r="J45" s="525"/>
      <c r="K45" s="525"/>
      <c r="L45" s="347"/>
    </row>
    <row r="46" spans="1:12" s="483" customFormat="1" ht="15.75" customHeight="1" x14ac:dyDescent="0.2">
      <c r="A46" s="2142" t="s">
        <v>109</v>
      </c>
      <c r="B46" s="2143"/>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0</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0</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260000</v>
      </c>
      <c r="E75" s="527">
        <v>0</v>
      </c>
      <c r="F75" s="529">
        <v>0</v>
      </c>
      <c r="G75" s="529">
        <v>0</v>
      </c>
      <c r="H75" s="529">
        <v>0</v>
      </c>
      <c r="I75" s="527">
        <v>0</v>
      </c>
      <c r="J75" s="527">
        <v>0</v>
      </c>
      <c r="K75" s="529">
        <v>0</v>
      </c>
      <c r="L75" s="521"/>
    </row>
    <row r="76" spans="1:12" s="483" customFormat="1" ht="14.25" thickTop="1" thickBot="1" x14ac:dyDescent="0.25">
      <c r="A76" s="2116" t="s">
        <v>440</v>
      </c>
      <c r="B76" s="2117"/>
      <c r="C76" s="1699">
        <f t="shared" ref="C76:K76" si="7">SUM(C47:C75)</f>
        <v>0</v>
      </c>
      <c r="D76" s="1699">
        <f t="shared" si="7"/>
        <v>260000</v>
      </c>
      <c r="E76" s="1699">
        <f t="shared" si="7"/>
        <v>0</v>
      </c>
      <c r="F76" s="1699">
        <f t="shared" si="7"/>
        <v>0</v>
      </c>
      <c r="G76" s="1699">
        <f t="shared" si="7"/>
        <v>0</v>
      </c>
      <c r="H76" s="1699">
        <f t="shared" si="7"/>
        <v>0</v>
      </c>
      <c r="I76" s="1699">
        <f t="shared" si="7"/>
        <v>0</v>
      </c>
      <c r="J76" s="1699">
        <f t="shared" si="7"/>
        <v>0</v>
      </c>
      <c r="K76" s="1699">
        <f t="shared" si="7"/>
        <v>0</v>
      </c>
      <c r="L76" s="521"/>
    </row>
    <row r="77" spans="1:12" ht="14.25" thickTop="1" thickBot="1" x14ac:dyDescent="0.25">
      <c r="A77" s="2118" t="s">
        <v>1177</v>
      </c>
      <c r="B77" s="2119"/>
      <c r="C77" s="1699">
        <f t="shared" ref="C77:K77" si="8">C44-C76</f>
        <v>0</v>
      </c>
      <c r="D77" s="1699">
        <f t="shared" si="8"/>
        <v>-222488</v>
      </c>
      <c r="E77" s="1699">
        <f t="shared" si="8"/>
        <v>0</v>
      </c>
      <c r="F77" s="1699">
        <f t="shared" si="8"/>
        <v>0</v>
      </c>
      <c r="G77" s="1699">
        <f t="shared" si="8"/>
        <v>0</v>
      </c>
      <c r="H77" s="1699">
        <f t="shared" si="8"/>
        <v>260000</v>
      </c>
      <c r="I77" s="1699">
        <f t="shared" si="8"/>
        <v>0</v>
      </c>
      <c r="J77" s="1699">
        <f t="shared" si="8"/>
        <v>0</v>
      </c>
      <c r="K77" s="1699">
        <f t="shared" si="8"/>
        <v>0</v>
      </c>
      <c r="L77" s="347"/>
    </row>
    <row r="78" spans="1:12" ht="21.75" customHeight="1" thickTop="1" thickBot="1" x14ac:dyDescent="0.25">
      <c r="A78" s="2122" t="s">
        <v>597</v>
      </c>
      <c r="B78" s="2123"/>
      <c r="C78" s="1698">
        <f t="shared" ref="C78:K78" si="9">C20+C77</f>
        <v>184076</v>
      </c>
      <c r="D78" s="1698">
        <f t="shared" si="9"/>
        <v>62710</v>
      </c>
      <c r="E78" s="1698">
        <f t="shared" si="9"/>
        <v>669</v>
      </c>
      <c r="F78" s="1698">
        <f t="shared" si="9"/>
        <v>-9734</v>
      </c>
      <c r="G78" s="1698">
        <f t="shared" si="9"/>
        <v>-19938</v>
      </c>
      <c r="H78" s="1698">
        <f t="shared" si="9"/>
        <v>-3480</v>
      </c>
      <c r="I78" s="1698">
        <f t="shared" si="9"/>
        <v>120546</v>
      </c>
      <c r="J78" s="1698">
        <f t="shared" si="9"/>
        <v>6531</v>
      </c>
      <c r="K78" s="1698">
        <f t="shared" si="9"/>
        <v>0</v>
      </c>
      <c r="L78" s="530"/>
    </row>
    <row r="79" spans="1:12" ht="13.5" thickTop="1" x14ac:dyDescent="0.2">
      <c r="A79" s="1490" t="s">
        <v>1949</v>
      </c>
      <c r="B79" s="531"/>
      <c r="C79" s="476">
        <v>11546562</v>
      </c>
      <c r="D79" s="476">
        <v>728973</v>
      </c>
      <c r="E79" s="476">
        <v>34791</v>
      </c>
      <c r="F79" s="476">
        <v>341413</v>
      </c>
      <c r="G79" s="476">
        <v>273372</v>
      </c>
      <c r="H79" s="476">
        <v>34667</v>
      </c>
      <c r="I79" s="476">
        <v>639204</v>
      </c>
      <c r="J79" s="476">
        <v>54201</v>
      </c>
      <c r="K79" s="476">
        <v>0</v>
      </c>
      <c r="L79" s="347"/>
    </row>
    <row r="80" spans="1:12" x14ac:dyDescent="0.2">
      <c r="A80" s="2128" t="s">
        <v>1795</v>
      </c>
      <c r="B80" s="2129"/>
      <c r="C80" s="467">
        <v>0</v>
      </c>
      <c r="D80" s="467">
        <v>0</v>
      </c>
      <c r="E80" s="467">
        <v>0</v>
      </c>
      <c r="F80" s="467">
        <v>0</v>
      </c>
      <c r="G80" s="467">
        <v>0</v>
      </c>
      <c r="H80" s="467">
        <v>0</v>
      </c>
      <c r="I80" s="467">
        <v>0</v>
      </c>
      <c r="J80" s="467">
        <v>0</v>
      </c>
      <c r="K80" s="467">
        <v>0</v>
      </c>
      <c r="L80" s="347"/>
    </row>
    <row r="81" spans="1:12" ht="13.5" thickBot="1" x14ac:dyDescent="0.25">
      <c r="A81" s="2120" t="s">
        <v>1950</v>
      </c>
      <c r="B81" s="2121"/>
      <c r="C81" s="1684">
        <f>(SUM(C78:C80))</f>
        <v>11730638</v>
      </c>
      <c r="D81" s="1684">
        <f>SUM(D78:D80)</f>
        <v>791683</v>
      </c>
      <c r="E81" s="1684">
        <f t="shared" ref="E81:K81" si="10">SUM(E78:E80)</f>
        <v>35460</v>
      </c>
      <c r="F81" s="1684">
        <f t="shared" si="10"/>
        <v>331679</v>
      </c>
      <c r="G81" s="1684">
        <f t="shared" si="10"/>
        <v>253434</v>
      </c>
      <c r="H81" s="1684">
        <f t="shared" si="10"/>
        <v>31187</v>
      </c>
      <c r="I81" s="1684">
        <f t="shared" si="10"/>
        <v>759750</v>
      </c>
      <c r="J81" s="1684">
        <f t="shared" si="10"/>
        <v>60732</v>
      </c>
      <c r="K81" s="1684">
        <f t="shared" si="10"/>
        <v>0</v>
      </c>
      <c r="L81" s="347"/>
    </row>
    <row r="82" spans="1:12" ht="0.75" customHeight="1" thickTop="1" thickBot="1" x14ac:dyDescent="0.25">
      <c r="A82" s="533" t="s">
        <v>343</v>
      </c>
      <c r="B82" s="534"/>
      <c r="C82" s="535">
        <f>(C81-C79)</f>
        <v>184076</v>
      </c>
      <c r="D82" s="535">
        <f t="shared" ref="D82:K82" si="11">(D81-D79)</f>
        <v>62710</v>
      </c>
      <c r="E82" s="535">
        <f t="shared" si="11"/>
        <v>669</v>
      </c>
      <c r="F82" s="535">
        <f t="shared" si="11"/>
        <v>-9734</v>
      </c>
      <c r="G82" s="535">
        <f t="shared" si="11"/>
        <v>-19938</v>
      </c>
      <c r="H82" s="535">
        <f t="shared" si="11"/>
        <v>-3480</v>
      </c>
      <c r="I82" s="535">
        <f t="shared" si="11"/>
        <v>120546</v>
      </c>
      <c r="J82" s="535">
        <f t="shared" si="11"/>
        <v>6531</v>
      </c>
      <c r="K82" s="535">
        <f t="shared" si="11"/>
        <v>0</v>
      </c>
    </row>
    <row r="83" spans="1:12" ht="14.25" hidden="1" thickTop="1" thickBot="1" x14ac:dyDescent="0.25">
      <c r="A83" s="536" t="s">
        <v>344</v>
      </c>
      <c r="B83" s="464"/>
      <c r="C83" s="537">
        <f>C82/C81</f>
        <v>1.569190013365002E-2</v>
      </c>
      <c r="D83" s="537">
        <f t="shared" ref="D83:K83" si="12">D82/D81</f>
        <v>7.9210997331002439E-2</v>
      </c>
      <c r="E83" s="537">
        <f t="shared" si="12"/>
        <v>1.8866328257191201E-2</v>
      </c>
      <c r="F83" s="537">
        <f t="shared" si="12"/>
        <v>-2.934765239885552E-2</v>
      </c>
      <c r="G83" s="537">
        <f t="shared" si="12"/>
        <v>-7.8671370060844237E-2</v>
      </c>
      <c r="H83" s="537">
        <f t="shared" si="12"/>
        <v>-0.11158495526982397</v>
      </c>
      <c r="I83" s="537">
        <f t="shared" si="12"/>
        <v>0.15866535044422508</v>
      </c>
      <c r="J83" s="537">
        <f t="shared" si="12"/>
        <v>0.10753803596127248</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A18" sqref="A18"/>
      <selection pane="bottomLeft" activeCell="C7" sqref="C7"/>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4958902</v>
      </c>
      <c r="D5" s="479">
        <v>1221003</v>
      </c>
      <c r="E5" s="466">
        <v>0</v>
      </c>
      <c r="F5" s="545">
        <v>237652</v>
      </c>
      <c r="G5" s="466">
        <v>53178</v>
      </c>
      <c r="H5" s="466">
        <v>0</v>
      </c>
      <c r="I5" s="466">
        <v>106149</v>
      </c>
      <c r="J5" s="467">
        <v>105622</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105623</v>
      </c>
      <c r="D7" s="466">
        <v>0</v>
      </c>
      <c r="E7" s="468"/>
      <c r="F7" s="467">
        <v>0</v>
      </c>
      <c r="G7" s="467">
        <v>0</v>
      </c>
      <c r="H7" s="467">
        <v>0</v>
      </c>
      <c r="I7" s="468"/>
      <c r="J7" s="468"/>
      <c r="K7" s="468"/>
    </row>
    <row r="8" spans="1:12" x14ac:dyDescent="0.2">
      <c r="A8" s="463" t="s">
        <v>413</v>
      </c>
      <c r="B8" s="470">
        <v>1150</v>
      </c>
      <c r="C8" s="474"/>
      <c r="D8" s="474"/>
      <c r="E8" s="475"/>
      <c r="F8" s="475"/>
      <c r="G8" s="479">
        <v>144698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5064525</v>
      </c>
      <c r="D12" s="1703">
        <f t="shared" si="0"/>
        <v>1221003</v>
      </c>
      <c r="E12" s="1703">
        <f t="shared" si="0"/>
        <v>0</v>
      </c>
      <c r="F12" s="1703">
        <f t="shared" si="0"/>
        <v>237652</v>
      </c>
      <c r="G12" s="1703">
        <f t="shared" si="0"/>
        <v>197876</v>
      </c>
      <c r="H12" s="1703">
        <f t="shared" si="0"/>
        <v>0</v>
      </c>
      <c r="I12" s="1703">
        <f t="shared" si="0"/>
        <v>106149</v>
      </c>
      <c r="J12" s="1703">
        <f t="shared" si="0"/>
        <v>105622</v>
      </c>
      <c r="K12" s="1684">
        <f t="shared" si="0"/>
        <v>0</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2539</v>
      </c>
      <c r="D14" s="466">
        <v>612</v>
      </c>
      <c r="E14" s="466">
        <v>0</v>
      </c>
      <c r="F14" s="466">
        <v>119</v>
      </c>
      <c r="G14" s="466">
        <v>99</v>
      </c>
      <c r="H14" s="466">
        <v>0</v>
      </c>
      <c r="I14" s="466">
        <v>53</v>
      </c>
      <c r="J14" s="467">
        <v>53</v>
      </c>
      <c r="K14" s="466">
        <v>0</v>
      </c>
    </row>
    <row r="15" spans="1:12" ht="12.75" customHeight="1" x14ac:dyDescent="0.2">
      <c r="A15" s="463" t="s">
        <v>95</v>
      </c>
      <c r="B15" s="470">
        <v>1220</v>
      </c>
      <c r="C15" s="548">
        <v>296</v>
      </c>
      <c r="D15" s="466">
        <v>72</v>
      </c>
      <c r="E15" s="466">
        <v>0</v>
      </c>
      <c r="F15" s="466">
        <v>14</v>
      </c>
      <c r="G15" s="466">
        <v>12</v>
      </c>
      <c r="H15" s="466">
        <v>0</v>
      </c>
      <c r="I15" s="466">
        <v>6</v>
      </c>
      <c r="J15" s="467">
        <v>6</v>
      </c>
      <c r="K15" s="466">
        <v>0</v>
      </c>
    </row>
    <row r="16" spans="1:12" ht="15" customHeight="1" x14ac:dyDescent="0.2">
      <c r="A16" s="463" t="s">
        <v>1663</v>
      </c>
      <c r="B16" s="546">
        <v>1230</v>
      </c>
      <c r="C16" s="548">
        <v>431186</v>
      </c>
      <c r="D16" s="466">
        <v>0</v>
      </c>
      <c r="E16" s="466">
        <v>0</v>
      </c>
      <c r="F16" s="466">
        <v>0</v>
      </c>
      <c r="G16" s="466">
        <v>32415</v>
      </c>
      <c r="H16" s="466">
        <v>0</v>
      </c>
      <c r="I16" s="466">
        <v>0</v>
      </c>
      <c r="J16" s="467">
        <v>0</v>
      </c>
      <c r="K16" s="466">
        <v>0</v>
      </c>
    </row>
    <row r="17" spans="1:11" ht="12.75" customHeight="1" x14ac:dyDescent="0.2">
      <c r="A17" s="463" t="s">
        <v>807</v>
      </c>
      <c r="B17" s="470">
        <v>1290</v>
      </c>
      <c r="C17" s="548">
        <v>2745</v>
      </c>
      <c r="D17" s="466">
        <v>656</v>
      </c>
      <c r="E17" s="466">
        <v>0</v>
      </c>
      <c r="F17" s="466">
        <v>129</v>
      </c>
      <c r="G17" s="466">
        <v>115</v>
      </c>
      <c r="H17" s="466">
        <v>0</v>
      </c>
      <c r="I17" s="466">
        <v>60</v>
      </c>
      <c r="J17" s="467">
        <v>58</v>
      </c>
      <c r="K17" s="466">
        <v>0</v>
      </c>
    </row>
    <row r="18" spans="1:11" ht="12.75" customHeight="1" thickBot="1" x14ac:dyDescent="0.25">
      <c r="A18" s="1704" t="s">
        <v>537</v>
      </c>
      <c r="B18" s="1705"/>
      <c r="C18" s="1706">
        <f>SUM(C14:C17)</f>
        <v>436766</v>
      </c>
      <c r="D18" s="1706">
        <f t="shared" ref="D18:K18" si="1">SUM(D14:D17)</f>
        <v>1340</v>
      </c>
      <c r="E18" s="1706">
        <f t="shared" si="1"/>
        <v>0</v>
      </c>
      <c r="F18" s="1706">
        <f t="shared" si="1"/>
        <v>262</v>
      </c>
      <c r="G18" s="1706">
        <f t="shared" si="1"/>
        <v>32641</v>
      </c>
      <c r="H18" s="1706">
        <f t="shared" si="1"/>
        <v>0</v>
      </c>
      <c r="I18" s="1706">
        <f t="shared" si="1"/>
        <v>119</v>
      </c>
      <c r="J18" s="1706">
        <f t="shared" si="1"/>
        <v>117</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273369</v>
      </c>
      <c r="D65" s="466">
        <v>22037</v>
      </c>
      <c r="E65" s="466">
        <v>718</v>
      </c>
      <c r="F65" s="467">
        <v>7925</v>
      </c>
      <c r="G65" s="466">
        <v>5607</v>
      </c>
      <c r="H65" s="466">
        <v>1401</v>
      </c>
      <c r="I65" s="466">
        <v>15317</v>
      </c>
      <c r="J65" s="467">
        <v>1928</v>
      </c>
      <c r="K65" s="466">
        <v>0</v>
      </c>
    </row>
    <row r="66" spans="1:11" ht="12.75" customHeight="1" x14ac:dyDescent="0.2">
      <c r="A66" s="463" t="s">
        <v>679</v>
      </c>
      <c r="B66" s="470">
        <v>1520</v>
      </c>
      <c r="C66" s="466">
        <v>-18516</v>
      </c>
      <c r="D66" s="466">
        <v>-1493</v>
      </c>
      <c r="E66" s="466">
        <v>-49</v>
      </c>
      <c r="F66" s="466">
        <v>-536</v>
      </c>
      <c r="G66" s="466">
        <v>-396</v>
      </c>
      <c r="H66" s="466">
        <v>-96</v>
      </c>
      <c r="I66" s="466">
        <v>-1039</v>
      </c>
      <c r="J66" s="467">
        <v>-131</v>
      </c>
      <c r="K66" s="466">
        <v>0</v>
      </c>
    </row>
    <row r="67" spans="1:11" ht="12.75" customHeight="1" thickBot="1" x14ac:dyDescent="0.25">
      <c r="A67" s="1704" t="s">
        <v>486</v>
      </c>
      <c r="B67" s="1705"/>
      <c r="C67" s="1684">
        <f>SUM(C65:C66)</f>
        <v>254853</v>
      </c>
      <c r="D67" s="1684">
        <f t="shared" ref="D67:K67" si="2">SUM(D65:D66)</f>
        <v>20544</v>
      </c>
      <c r="E67" s="1684">
        <f t="shared" si="2"/>
        <v>669</v>
      </c>
      <c r="F67" s="1684">
        <f t="shared" si="2"/>
        <v>7389</v>
      </c>
      <c r="G67" s="1684">
        <f t="shared" si="2"/>
        <v>5211</v>
      </c>
      <c r="H67" s="1684">
        <f t="shared" si="2"/>
        <v>1305</v>
      </c>
      <c r="I67" s="1684">
        <f t="shared" si="2"/>
        <v>14278</v>
      </c>
      <c r="J67" s="1684">
        <f t="shared" si="2"/>
        <v>1797</v>
      </c>
      <c r="K67" s="1684">
        <f t="shared" si="2"/>
        <v>0</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99915</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2717</v>
      </c>
      <c r="D73" s="468"/>
      <c r="E73" s="468"/>
      <c r="F73" s="468"/>
      <c r="G73" s="468"/>
      <c r="H73" s="468"/>
      <c r="I73" s="468"/>
      <c r="J73" s="468"/>
      <c r="K73" s="468"/>
    </row>
    <row r="74" spans="1:11" ht="12.75" customHeight="1" x14ac:dyDescent="0.2">
      <c r="A74" s="463" t="s">
        <v>25</v>
      </c>
      <c r="B74" s="470">
        <v>1690</v>
      </c>
      <c r="C74" s="548">
        <v>109</v>
      </c>
      <c r="D74" s="468"/>
      <c r="E74" s="468"/>
      <c r="F74" s="468"/>
      <c r="G74" s="468"/>
      <c r="H74" s="468"/>
      <c r="I74" s="468"/>
      <c r="J74" s="468"/>
      <c r="K74" s="468"/>
    </row>
    <row r="75" spans="1:11" ht="12.75" customHeight="1" thickBot="1" x14ac:dyDescent="0.25">
      <c r="A75" s="1704" t="s">
        <v>548</v>
      </c>
      <c r="B75" s="1705"/>
      <c r="C75" s="1684">
        <f>SUM(C69:C74)</f>
        <v>102741</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10645</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18067</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6120</v>
      </c>
      <c r="D81" s="466">
        <v>0</v>
      </c>
      <c r="E81" s="468"/>
      <c r="F81" s="468"/>
      <c r="G81" s="468"/>
      <c r="H81" s="468"/>
      <c r="I81" s="468"/>
      <c r="J81" s="468"/>
      <c r="K81" s="468"/>
    </row>
    <row r="82" spans="1:11" ht="12.75" customHeight="1" thickBot="1" x14ac:dyDescent="0.25">
      <c r="A82" s="1704" t="s">
        <v>241</v>
      </c>
      <c r="B82" s="1705"/>
      <c r="C82" s="1703">
        <f>SUM(C77:C81)</f>
        <v>34832</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100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50</v>
      </c>
      <c r="D92" s="468"/>
      <c r="E92" s="468"/>
      <c r="F92" s="468"/>
      <c r="G92" s="468"/>
      <c r="H92" s="468"/>
      <c r="I92" s="468"/>
      <c r="J92" s="468"/>
      <c r="K92" s="468"/>
    </row>
    <row r="93" spans="1:11" ht="12.75" customHeight="1" thickBot="1" x14ac:dyDescent="0.25">
      <c r="A93" s="1704" t="s">
        <v>243</v>
      </c>
      <c r="B93" s="1705"/>
      <c r="C93" s="1684">
        <f>SUM(C84:C92)</f>
        <v>150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2600</v>
      </c>
      <c r="D95" s="548">
        <v>45311</v>
      </c>
      <c r="E95" s="518"/>
      <c r="F95" s="518"/>
      <c r="G95" s="518"/>
      <c r="H95" s="518"/>
      <c r="I95" s="518"/>
      <c r="J95" s="518"/>
      <c r="K95" s="518"/>
    </row>
    <row r="96" spans="1:11" ht="12.75" customHeight="1" x14ac:dyDescent="0.2">
      <c r="A96" s="463" t="s">
        <v>391</v>
      </c>
      <c r="B96" s="470">
        <v>1920</v>
      </c>
      <c r="C96" s="548">
        <v>3369</v>
      </c>
      <c r="D96" s="548">
        <v>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53644</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300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6563</v>
      </c>
      <c r="D107" s="466">
        <v>4026</v>
      </c>
      <c r="E107" s="466">
        <v>0</v>
      </c>
      <c r="F107" s="466">
        <v>0</v>
      </c>
      <c r="G107" s="466">
        <v>0</v>
      </c>
      <c r="H107" s="466">
        <v>0</v>
      </c>
      <c r="I107" s="466">
        <v>0</v>
      </c>
      <c r="J107" s="467">
        <v>0</v>
      </c>
      <c r="K107" s="466">
        <v>0</v>
      </c>
    </row>
    <row r="108" spans="1:12" ht="12.75" customHeight="1" thickBot="1" x14ac:dyDescent="0.25">
      <c r="A108" s="1704" t="s">
        <v>487</v>
      </c>
      <c r="B108" s="1708"/>
      <c r="C108" s="1703">
        <f>SUM(C95:C107)</f>
        <v>66476</v>
      </c>
      <c r="D108" s="1703">
        <f t="shared" ref="D108:K108" si="3">SUM(D95:D107)</f>
        <v>49337</v>
      </c>
      <c r="E108" s="1703">
        <f t="shared" si="3"/>
        <v>0</v>
      </c>
      <c r="F108" s="1703">
        <f t="shared" si="3"/>
        <v>0</v>
      </c>
      <c r="G108" s="1703">
        <f t="shared" si="3"/>
        <v>0</v>
      </c>
      <c r="H108" s="1703">
        <f t="shared" si="3"/>
        <v>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5960343</v>
      </c>
      <c r="D109" s="1711">
        <f t="shared" si="4"/>
        <v>1292224</v>
      </c>
      <c r="E109" s="1711">
        <f t="shared" si="4"/>
        <v>669</v>
      </c>
      <c r="F109" s="1711">
        <f t="shared" si="4"/>
        <v>245303</v>
      </c>
      <c r="G109" s="1711">
        <f t="shared" si="4"/>
        <v>235728</v>
      </c>
      <c r="H109" s="1711">
        <f t="shared" si="4"/>
        <v>1305</v>
      </c>
      <c r="I109" s="1711">
        <f t="shared" si="4"/>
        <v>120546</v>
      </c>
      <c r="J109" s="1711">
        <f t="shared" si="4"/>
        <v>107536</v>
      </c>
      <c r="K109" s="1698">
        <f t="shared" si="4"/>
        <v>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437008</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437008</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6165</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6165</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0</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1838</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0</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2556</v>
      </c>
      <c r="G152" s="467">
        <v>0</v>
      </c>
      <c r="H152" s="468"/>
      <c r="I152" s="468"/>
      <c r="J152" s="468"/>
      <c r="K152" s="468"/>
    </row>
    <row r="153" spans="1:11" ht="12.75" customHeight="1" x14ac:dyDescent="0.2">
      <c r="A153" s="463" t="s">
        <v>1057</v>
      </c>
      <c r="B153" s="559">
        <v>3510</v>
      </c>
      <c r="C153" s="548">
        <v>0</v>
      </c>
      <c r="D153" s="466">
        <v>0</v>
      </c>
      <c r="E153" s="558"/>
      <c r="F153" s="466">
        <v>53390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55946</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0</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750</v>
      </c>
      <c r="D168" s="577">
        <v>0</v>
      </c>
      <c r="E168" s="577">
        <v>0</v>
      </c>
      <c r="F168" s="577">
        <v>0</v>
      </c>
      <c r="G168" s="578">
        <v>0</v>
      </c>
      <c r="H168" s="579">
        <v>0</v>
      </c>
      <c r="I168" s="578">
        <v>0</v>
      </c>
      <c r="J168" s="578">
        <v>0</v>
      </c>
      <c r="K168" s="579">
        <v>0</v>
      </c>
    </row>
    <row r="169" spans="1:11" ht="12.75" customHeight="1" thickTop="1" thickBot="1" x14ac:dyDescent="0.25">
      <c r="A169" s="2144" t="s">
        <v>398</v>
      </c>
      <c r="B169" s="2145"/>
      <c r="C169" s="1718">
        <f t="shared" ref="C169:K169" si="6">SUM(C132,C141,C145,C146:C150,C155,C156:C167,C168)</f>
        <v>8753</v>
      </c>
      <c r="D169" s="1718">
        <f t="shared" si="6"/>
        <v>0</v>
      </c>
      <c r="E169" s="1718">
        <f t="shared" si="6"/>
        <v>0</v>
      </c>
      <c r="F169" s="1718">
        <f t="shared" si="6"/>
        <v>55946</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445761</v>
      </c>
      <c r="D170" s="1711">
        <f t="shared" si="7"/>
        <v>0</v>
      </c>
      <c r="E170" s="1711">
        <f t="shared" si="7"/>
        <v>0</v>
      </c>
      <c r="F170" s="1711">
        <f t="shared" si="7"/>
        <v>55946</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46" t="s">
        <v>1492</v>
      </c>
      <c r="B172" s="2147"/>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50" t="s">
        <v>1665</v>
      </c>
      <c r="B175" s="2151"/>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54" t="s">
        <v>1664</v>
      </c>
      <c r="B176" s="2155"/>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36874</v>
      </c>
      <c r="D180" s="466">
        <v>0</v>
      </c>
      <c r="E180" s="468"/>
      <c r="F180" s="466">
        <v>0</v>
      </c>
      <c r="G180" s="466">
        <v>0</v>
      </c>
      <c r="H180" s="466">
        <v>0</v>
      </c>
      <c r="I180" s="468"/>
      <c r="J180" s="468"/>
      <c r="K180" s="466">
        <v>0</v>
      </c>
    </row>
    <row r="181" spans="1:11" ht="13.5" thickBot="1" x14ac:dyDescent="0.25">
      <c r="A181" s="2152" t="s">
        <v>785</v>
      </c>
      <c r="B181" s="2153"/>
      <c r="C181" s="1703">
        <f>SUM(C177:C180)</f>
        <v>36874</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48" t="s">
        <v>1803</v>
      </c>
      <c r="B182" s="2149"/>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91832</v>
      </c>
      <c r="D191" s="468"/>
      <c r="E191" s="558"/>
      <c r="F191" s="468"/>
      <c r="G191" s="582">
        <v>0</v>
      </c>
      <c r="H191" s="468"/>
      <c r="I191" s="468"/>
      <c r="J191" s="468"/>
      <c r="K191" s="468"/>
    </row>
    <row r="192" spans="1:11" ht="12.75" customHeight="1" x14ac:dyDescent="0.2">
      <c r="A192" s="463" t="s">
        <v>1047</v>
      </c>
      <c r="B192" s="470">
        <v>4215</v>
      </c>
      <c r="C192" s="548">
        <v>2251</v>
      </c>
      <c r="D192" s="468"/>
      <c r="E192" s="558"/>
      <c r="F192" s="468"/>
      <c r="G192" s="582">
        <v>0</v>
      </c>
      <c r="H192" s="468"/>
      <c r="I192" s="468"/>
      <c r="J192" s="468"/>
      <c r="K192" s="468"/>
    </row>
    <row r="193" spans="1:11" ht="12.75" customHeight="1" x14ac:dyDescent="0.2">
      <c r="A193" s="463" t="s">
        <v>1059</v>
      </c>
      <c r="B193" s="470">
        <v>4220</v>
      </c>
      <c r="C193" s="548">
        <v>19511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113594</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91409</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91409</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85495</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85495</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1488</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22194</v>
      </c>
      <c r="D263" s="573">
        <v>0</v>
      </c>
      <c r="E263" s="468"/>
      <c r="F263" s="573">
        <v>0</v>
      </c>
      <c r="G263" s="573">
        <v>0</v>
      </c>
      <c r="H263" s="468"/>
      <c r="I263" s="468"/>
      <c r="J263" s="468"/>
      <c r="K263" s="468"/>
    </row>
    <row r="264" spans="1:11" ht="12.75" customHeight="1" thickTop="1" thickBot="1" x14ac:dyDescent="0.25">
      <c r="A264" s="463" t="s">
        <v>377</v>
      </c>
      <c r="B264" s="470">
        <v>4992</v>
      </c>
      <c r="C264" s="572">
        <v>7582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321762</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358636</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6764740</v>
      </c>
      <c r="D268" s="1711">
        <f t="shared" si="12"/>
        <v>1292224</v>
      </c>
      <c r="E268" s="1711">
        <f t="shared" si="12"/>
        <v>669</v>
      </c>
      <c r="F268" s="1711">
        <f t="shared" si="12"/>
        <v>301249</v>
      </c>
      <c r="G268" s="1711">
        <f t="shared" si="12"/>
        <v>235728</v>
      </c>
      <c r="H268" s="1711">
        <f t="shared" si="12"/>
        <v>1305</v>
      </c>
      <c r="I268" s="1711">
        <f t="shared" si="12"/>
        <v>120546</v>
      </c>
      <c r="J268" s="1711">
        <f t="shared" si="12"/>
        <v>107536</v>
      </c>
      <c r="K268" s="1698">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A18" sqref="A18"/>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24"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8"/>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64" t="s">
        <v>297</v>
      </c>
      <c r="B3" s="2165"/>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2420119</v>
      </c>
      <c r="D5" s="466">
        <v>607114</v>
      </c>
      <c r="E5" s="466">
        <v>6564</v>
      </c>
      <c r="F5" s="466">
        <v>124634</v>
      </c>
      <c r="G5" s="466">
        <v>13685</v>
      </c>
      <c r="H5" s="466">
        <v>0</v>
      </c>
      <c r="I5" s="467">
        <v>0</v>
      </c>
      <c r="J5" s="467">
        <v>0</v>
      </c>
      <c r="K5" s="1667">
        <f>SUM(C5:J5)</f>
        <v>3172116</v>
      </c>
      <c r="L5" s="471">
        <v>3239800</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87513</v>
      </c>
      <c r="D7" s="467">
        <v>23501</v>
      </c>
      <c r="E7" s="467">
        <v>0</v>
      </c>
      <c r="F7" s="467">
        <v>1926</v>
      </c>
      <c r="G7" s="467">
        <v>0</v>
      </c>
      <c r="H7" s="467">
        <v>0</v>
      </c>
      <c r="I7" s="467">
        <v>0</v>
      </c>
      <c r="J7" s="467">
        <v>0</v>
      </c>
      <c r="K7" s="1667">
        <f t="shared" ref="K7:K32" si="0">SUM(C7:J7)</f>
        <v>112940</v>
      </c>
      <c r="L7" s="471">
        <v>105355</v>
      </c>
    </row>
    <row r="8" spans="1:14" x14ac:dyDescent="0.2">
      <c r="A8" s="1500" t="s">
        <v>164</v>
      </c>
      <c r="B8" s="611">
        <v>1200</v>
      </c>
      <c r="C8" s="466">
        <v>668256</v>
      </c>
      <c r="D8" s="466">
        <v>133761</v>
      </c>
      <c r="E8" s="466">
        <v>46578</v>
      </c>
      <c r="F8" s="466">
        <v>870</v>
      </c>
      <c r="G8" s="466">
        <v>0</v>
      </c>
      <c r="H8" s="466">
        <v>0</v>
      </c>
      <c r="I8" s="467">
        <v>0</v>
      </c>
      <c r="J8" s="467">
        <v>0</v>
      </c>
      <c r="K8" s="1667">
        <f t="shared" si="0"/>
        <v>849465</v>
      </c>
      <c r="L8" s="471">
        <v>737151</v>
      </c>
    </row>
    <row r="9" spans="1:14" x14ac:dyDescent="0.2">
      <c r="A9" s="1500" t="s">
        <v>721</v>
      </c>
      <c r="B9" s="611" t="s">
        <v>968</v>
      </c>
      <c r="C9" s="467">
        <v>94919</v>
      </c>
      <c r="D9" s="467">
        <v>32262</v>
      </c>
      <c r="E9" s="467">
        <v>0</v>
      </c>
      <c r="F9" s="467">
        <v>0</v>
      </c>
      <c r="G9" s="467">
        <v>0</v>
      </c>
      <c r="H9" s="467">
        <v>0</v>
      </c>
      <c r="I9" s="467">
        <v>0</v>
      </c>
      <c r="J9" s="467">
        <v>0</v>
      </c>
      <c r="K9" s="1667">
        <f t="shared" si="0"/>
        <v>127181</v>
      </c>
      <c r="L9" s="471">
        <v>123820</v>
      </c>
    </row>
    <row r="10" spans="1:14" x14ac:dyDescent="0.2">
      <c r="A10" s="1500" t="s">
        <v>722</v>
      </c>
      <c r="B10" s="611">
        <v>1250</v>
      </c>
      <c r="C10" s="466">
        <v>191138</v>
      </c>
      <c r="D10" s="466">
        <v>54832</v>
      </c>
      <c r="E10" s="466">
        <v>982</v>
      </c>
      <c r="F10" s="466">
        <v>0</v>
      </c>
      <c r="G10" s="466">
        <v>0</v>
      </c>
      <c r="H10" s="466">
        <v>0</v>
      </c>
      <c r="I10" s="467">
        <v>0</v>
      </c>
      <c r="J10" s="467">
        <v>0</v>
      </c>
      <c r="K10" s="1667">
        <f t="shared" si="0"/>
        <v>246952</v>
      </c>
      <c r="L10" s="471">
        <v>206091</v>
      </c>
    </row>
    <row r="11" spans="1:14" x14ac:dyDescent="0.2">
      <c r="A11" s="1500" t="s">
        <v>1130</v>
      </c>
      <c r="B11" s="611" t="s">
        <v>161</v>
      </c>
      <c r="C11" s="467">
        <v>0</v>
      </c>
      <c r="D11" s="467">
        <v>0</v>
      </c>
      <c r="E11" s="467">
        <v>0</v>
      </c>
      <c r="F11" s="467">
        <v>0</v>
      </c>
      <c r="G11" s="467">
        <v>0</v>
      </c>
      <c r="H11" s="467">
        <v>0</v>
      </c>
      <c r="I11" s="467">
        <v>0</v>
      </c>
      <c r="J11" s="467">
        <v>0</v>
      </c>
      <c r="K11" s="1667">
        <f t="shared" si="0"/>
        <v>0</v>
      </c>
      <c r="L11" s="471">
        <v>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0</v>
      </c>
      <c r="D13" s="466">
        <v>0</v>
      </c>
      <c r="E13" s="466">
        <v>0</v>
      </c>
      <c r="F13" s="466">
        <v>0</v>
      </c>
      <c r="G13" s="466">
        <v>0</v>
      </c>
      <c r="H13" s="466">
        <v>0</v>
      </c>
      <c r="I13" s="467">
        <v>0</v>
      </c>
      <c r="J13" s="467">
        <v>0</v>
      </c>
      <c r="K13" s="1667">
        <f t="shared" si="0"/>
        <v>0</v>
      </c>
      <c r="L13" s="471">
        <v>0</v>
      </c>
    </row>
    <row r="14" spans="1:14" x14ac:dyDescent="0.2">
      <c r="A14" s="1500" t="s">
        <v>963</v>
      </c>
      <c r="B14" s="611">
        <v>1500</v>
      </c>
      <c r="C14" s="466">
        <v>108847</v>
      </c>
      <c r="D14" s="466">
        <v>15230</v>
      </c>
      <c r="E14" s="466">
        <v>15080</v>
      </c>
      <c r="F14" s="466">
        <v>18741</v>
      </c>
      <c r="G14" s="466">
        <v>9990</v>
      </c>
      <c r="H14" s="466">
        <v>4507</v>
      </c>
      <c r="I14" s="467">
        <v>0</v>
      </c>
      <c r="J14" s="467">
        <v>0</v>
      </c>
      <c r="K14" s="1667">
        <f t="shared" si="0"/>
        <v>172395</v>
      </c>
      <c r="L14" s="471">
        <v>175500</v>
      </c>
    </row>
    <row r="15" spans="1:14" x14ac:dyDescent="0.2">
      <c r="A15" s="1500" t="s">
        <v>964</v>
      </c>
      <c r="B15" s="611">
        <v>1600</v>
      </c>
      <c r="C15" s="467">
        <v>12273</v>
      </c>
      <c r="D15" s="466">
        <v>1326</v>
      </c>
      <c r="E15" s="466">
        <v>0</v>
      </c>
      <c r="F15" s="466">
        <v>0</v>
      </c>
      <c r="G15" s="466">
        <v>0</v>
      </c>
      <c r="H15" s="466">
        <v>0</v>
      </c>
      <c r="I15" s="467">
        <v>0</v>
      </c>
      <c r="J15" s="467">
        <v>0</v>
      </c>
      <c r="K15" s="1667">
        <f t="shared" si="0"/>
        <v>13599</v>
      </c>
      <c r="L15" s="471">
        <v>10400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0</v>
      </c>
      <c r="D17" s="467">
        <v>0</v>
      </c>
      <c r="E17" s="467">
        <v>0</v>
      </c>
      <c r="F17" s="467">
        <v>0</v>
      </c>
      <c r="G17" s="467">
        <v>0</v>
      </c>
      <c r="H17" s="467">
        <v>0</v>
      </c>
      <c r="I17" s="467">
        <v>0</v>
      </c>
      <c r="J17" s="467">
        <v>0</v>
      </c>
      <c r="K17" s="1667">
        <f t="shared" si="0"/>
        <v>0</v>
      </c>
      <c r="L17" s="471">
        <v>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33868</v>
      </c>
      <c r="I22" s="613"/>
      <c r="J22" s="475"/>
      <c r="K22" s="1667">
        <f t="shared" si="0"/>
        <v>33868</v>
      </c>
      <c r="L22" s="471">
        <v>80000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3583065</v>
      </c>
      <c r="D33" s="1666">
        <f t="shared" ref="D33:L33" si="1">SUM(D5:D32)</f>
        <v>868026</v>
      </c>
      <c r="E33" s="1666">
        <f t="shared" si="1"/>
        <v>69204</v>
      </c>
      <c r="F33" s="1666">
        <f t="shared" si="1"/>
        <v>146171</v>
      </c>
      <c r="G33" s="1666">
        <f t="shared" si="1"/>
        <v>23675</v>
      </c>
      <c r="H33" s="1666">
        <f t="shared" si="1"/>
        <v>38375</v>
      </c>
      <c r="I33" s="1666">
        <f t="shared" si="1"/>
        <v>0</v>
      </c>
      <c r="J33" s="1666">
        <f t="shared" si="1"/>
        <v>0</v>
      </c>
      <c r="K33" s="1666">
        <f t="shared" si="1"/>
        <v>4728516</v>
      </c>
      <c r="L33" s="1666">
        <f t="shared" si="1"/>
        <v>4678117</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47574</v>
      </c>
      <c r="D36" s="479">
        <v>5235</v>
      </c>
      <c r="E36" s="479">
        <v>0</v>
      </c>
      <c r="F36" s="479">
        <v>213</v>
      </c>
      <c r="G36" s="479">
        <v>0</v>
      </c>
      <c r="H36" s="479">
        <v>0</v>
      </c>
      <c r="I36" s="467">
        <v>0</v>
      </c>
      <c r="J36" s="467">
        <v>0</v>
      </c>
      <c r="K36" s="1667">
        <f t="shared" ref="K36:K41" si="2">SUM(C36:J36)</f>
        <v>53022</v>
      </c>
      <c r="L36" s="466">
        <v>63520</v>
      </c>
    </row>
    <row r="37" spans="1:14" x14ac:dyDescent="0.2">
      <c r="A37" s="1500" t="s">
        <v>1090</v>
      </c>
      <c r="B37" s="611">
        <v>2120</v>
      </c>
      <c r="C37" s="466">
        <v>0</v>
      </c>
      <c r="D37" s="466">
        <v>0</v>
      </c>
      <c r="E37" s="466">
        <v>0</v>
      </c>
      <c r="F37" s="466">
        <v>0</v>
      </c>
      <c r="G37" s="466">
        <v>0</v>
      </c>
      <c r="H37" s="466">
        <v>0</v>
      </c>
      <c r="I37" s="467">
        <v>0</v>
      </c>
      <c r="J37" s="467">
        <v>0</v>
      </c>
      <c r="K37" s="1667">
        <f t="shared" si="2"/>
        <v>0</v>
      </c>
      <c r="L37" s="466">
        <v>0</v>
      </c>
    </row>
    <row r="38" spans="1:14" x14ac:dyDescent="0.2">
      <c r="A38" s="1500" t="s">
        <v>198</v>
      </c>
      <c r="B38" s="611">
        <v>2130</v>
      </c>
      <c r="C38" s="466">
        <v>58859</v>
      </c>
      <c r="D38" s="466">
        <v>9510</v>
      </c>
      <c r="E38" s="466">
        <v>150</v>
      </c>
      <c r="F38" s="466">
        <v>905</v>
      </c>
      <c r="G38" s="466">
        <v>0</v>
      </c>
      <c r="H38" s="466">
        <v>0</v>
      </c>
      <c r="I38" s="467">
        <v>0</v>
      </c>
      <c r="J38" s="467">
        <v>0</v>
      </c>
      <c r="K38" s="1667">
        <f t="shared" si="2"/>
        <v>69424</v>
      </c>
      <c r="L38" s="466">
        <v>73700</v>
      </c>
    </row>
    <row r="39" spans="1:14" x14ac:dyDescent="0.2">
      <c r="A39" s="1500" t="s">
        <v>199</v>
      </c>
      <c r="B39" s="611">
        <v>2140</v>
      </c>
      <c r="C39" s="466">
        <v>71931</v>
      </c>
      <c r="D39" s="466">
        <v>18082</v>
      </c>
      <c r="E39" s="466">
        <v>0</v>
      </c>
      <c r="F39" s="466">
        <v>1043</v>
      </c>
      <c r="G39" s="466">
        <v>0</v>
      </c>
      <c r="H39" s="466">
        <v>0</v>
      </c>
      <c r="I39" s="467">
        <v>0</v>
      </c>
      <c r="J39" s="467">
        <v>0</v>
      </c>
      <c r="K39" s="1667">
        <f t="shared" si="2"/>
        <v>91056</v>
      </c>
      <c r="L39" s="466">
        <v>92920</v>
      </c>
    </row>
    <row r="40" spans="1:14" x14ac:dyDescent="0.2">
      <c r="A40" s="1500" t="s">
        <v>200</v>
      </c>
      <c r="B40" s="611">
        <v>2150</v>
      </c>
      <c r="C40" s="466">
        <v>63619</v>
      </c>
      <c r="D40" s="466">
        <v>11095</v>
      </c>
      <c r="E40" s="466">
        <v>298</v>
      </c>
      <c r="F40" s="466">
        <v>1242</v>
      </c>
      <c r="G40" s="466">
        <v>0</v>
      </c>
      <c r="H40" s="466">
        <v>0</v>
      </c>
      <c r="I40" s="467">
        <v>0</v>
      </c>
      <c r="J40" s="467">
        <v>0</v>
      </c>
      <c r="K40" s="1667">
        <f t="shared" si="2"/>
        <v>76254</v>
      </c>
      <c r="L40" s="466">
        <v>97460</v>
      </c>
    </row>
    <row r="41" spans="1:14" x14ac:dyDescent="0.2">
      <c r="A41" s="1500" t="s">
        <v>1669</v>
      </c>
      <c r="B41" s="611">
        <v>2190</v>
      </c>
      <c r="C41" s="466">
        <v>29790</v>
      </c>
      <c r="D41" s="466">
        <v>6909</v>
      </c>
      <c r="E41" s="466">
        <v>44707</v>
      </c>
      <c r="F41" s="466">
        <v>80856</v>
      </c>
      <c r="G41" s="466">
        <v>144689</v>
      </c>
      <c r="H41" s="466">
        <v>0</v>
      </c>
      <c r="I41" s="467">
        <v>0</v>
      </c>
      <c r="J41" s="467">
        <v>0</v>
      </c>
      <c r="K41" s="1667">
        <f t="shared" si="2"/>
        <v>306951</v>
      </c>
      <c r="L41" s="466">
        <v>358700</v>
      </c>
    </row>
    <row r="42" spans="1:14" ht="12.75" customHeight="1" thickBot="1" x14ac:dyDescent="0.25">
      <c r="A42" s="1664" t="s">
        <v>560</v>
      </c>
      <c r="B42" s="1665" t="s">
        <v>716</v>
      </c>
      <c r="C42" s="1666">
        <f>SUM(C36:C41)</f>
        <v>271773</v>
      </c>
      <c r="D42" s="1666">
        <f t="shared" ref="D42:L42" si="3">SUM(D36:D41)</f>
        <v>50831</v>
      </c>
      <c r="E42" s="1666">
        <f t="shared" si="3"/>
        <v>45155</v>
      </c>
      <c r="F42" s="1666">
        <f t="shared" si="3"/>
        <v>84259</v>
      </c>
      <c r="G42" s="1666">
        <f t="shared" si="3"/>
        <v>144689</v>
      </c>
      <c r="H42" s="1666">
        <f t="shared" si="3"/>
        <v>0</v>
      </c>
      <c r="I42" s="1666">
        <f t="shared" si="3"/>
        <v>0</v>
      </c>
      <c r="J42" s="1666">
        <f t="shared" si="3"/>
        <v>0</v>
      </c>
      <c r="K42" s="1666">
        <f t="shared" si="3"/>
        <v>596707</v>
      </c>
      <c r="L42" s="1666">
        <f t="shared" si="3"/>
        <v>686300</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0</v>
      </c>
      <c r="D44" s="479">
        <v>0</v>
      </c>
      <c r="E44" s="479">
        <v>6876</v>
      </c>
      <c r="F44" s="479">
        <v>0</v>
      </c>
      <c r="G44" s="479">
        <v>0</v>
      </c>
      <c r="H44" s="479">
        <v>0</v>
      </c>
      <c r="I44" s="467">
        <v>0</v>
      </c>
      <c r="J44" s="467">
        <v>0</v>
      </c>
      <c r="K44" s="1668">
        <f>SUM(C44:J44)</f>
        <v>6876</v>
      </c>
      <c r="L44" s="479">
        <v>18816</v>
      </c>
    </row>
    <row r="45" spans="1:14" x14ac:dyDescent="0.2">
      <c r="A45" s="1500" t="s">
        <v>815</v>
      </c>
      <c r="B45" s="611">
        <v>2220</v>
      </c>
      <c r="C45" s="466">
        <v>93132</v>
      </c>
      <c r="D45" s="466">
        <v>7498</v>
      </c>
      <c r="E45" s="466">
        <v>0</v>
      </c>
      <c r="F45" s="466">
        <v>16099</v>
      </c>
      <c r="G45" s="466">
        <v>0</v>
      </c>
      <c r="H45" s="466">
        <v>0</v>
      </c>
      <c r="I45" s="467">
        <v>0</v>
      </c>
      <c r="J45" s="467">
        <v>0</v>
      </c>
      <c r="K45" s="1668">
        <f>SUM(C45:J45)</f>
        <v>116729</v>
      </c>
      <c r="L45" s="466">
        <v>127025</v>
      </c>
    </row>
    <row r="46" spans="1:14" x14ac:dyDescent="0.2">
      <c r="A46" s="1500" t="s">
        <v>816</v>
      </c>
      <c r="B46" s="611">
        <v>2230</v>
      </c>
      <c r="C46" s="466">
        <v>0</v>
      </c>
      <c r="D46" s="466">
        <v>0</v>
      </c>
      <c r="E46" s="466">
        <v>0</v>
      </c>
      <c r="F46" s="466">
        <v>0</v>
      </c>
      <c r="G46" s="466">
        <v>0</v>
      </c>
      <c r="H46" s="466">
        <v>0</v>
      </c>
      <c r="I46" s="467">
        <v>0</v>
      </c>
      <c r="J46" s="467">
        <v>0</v>
      </c>
      <c r="K46" s="1668">
        <f>SUM(C46:J46)</f>
        <v>0</v>
      </c>
      <c r="L46" s="466">
        <v>2500</v>
      </c>
    </row>
    <row r="47" spans="1:14" ht="12.75" customHeight="1" thickBot="1" x14ac:dyDescent="0.25">
      <c r="A47" s="1664" t="s">
        <v>561</v>
      </c>
      <c r="B47" s="1665" t="s">
        <v>32</v>
      </c>
      <c r="C47" s="1666">
        <f>SUM(C44:C46)</f>
        <v>93132</v>
      </c>
      <c r="D47" s="1666">
        <f t="shared" ref="D47:K47" si="4">SUM(D44:D46)</f>
        <v>7498</v>
      </c>
      <c r="E47" s="1666">
        <f t="shared" si="4"/>
        <v>6876</v>
      </c>
      <c r="F47" s="1666">
        <f t="shared" si="4"/>
        <v>16099</v>
      </c>
      <c r="G47" s="1666">
        <f t="shared" si="4"/>
        <v>0</v>
      </c>
      <c r="H47" s="1666">
        <f t="shared" si="4"/>
        <v>0</v>
      </c>
      <c r="I47" s="1666">
        <f t="shared" si="4"/>
        <v>0</v>
      </c>
      <c r="J47" s="1666">
        <f t="shared" si="4"/>
        <v>0</v>
      </c>
      <c r="K47" s="1666">
        <f t="shared" si="4"/>
        <v>123605</v>
      </c>
      <c r="L47" s="1666">
        <f>SUM(L44:L46)</f>
        <v>148341</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46920</v>
      </c>
      <c r="D49" s="479">
        <v>8214</v>
      </c>
      <c r="E49" s="479">
        <v>129340</v>
      </c>
      <c r="F49" s="479">
        <v>15311</v>
      </c>
      <c r="G49" s="479">
        <v>0</v>
      </c>
      <c r="H49" s="479">
        <v>10246</v>
      </c>
      <c r="I49" s="467">
        <v>0</v>
      </c>
      <c r="J49" s="467">
        <v>0</v>
      </c>
      <c r="K49" s="1668">
        <f>SUM(C49:J49)</f>
        <v>210031</v>
      </c>
      <c r="L49" s="479">
        <v>207100</v>
      </c>
    </row>
    <row r="50" spans="1:14" x14ac:dyDescent="0.2">
      <c r="A50" s="1500" t="s">
        <v>818</v>
      </c>
      <c r="B50" s="611">
        <v>2320</v>
      </c>
      <c r="C50" s="467">
        <v>129937</v>
      </c>
      <c r="D50" s="466">
        <v>62917</v>
      </c>
      <c r="E50" s="466">
        <v>446</v>
      </c>
      <c r="F50" s="466">
        <v>1208</v>
      </c>
      <c r="G50" s="466">
        <v>0</v>
      </c>
      <c r="H50" s="466">
        <v>2872</v>
      </c>
      <c r="I50" s="467">
        <v>0</v>
      </c>
      <c r="J50" s="467">
        <v>0</v>
      </c>
      <c r="K50" s="1668">
        <f>SUM(C50:J50)</f>
        <v>197380</v>
      </c>
      <c r="L50" s="466">
        <v>230231</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176857</v>
      </c>
      <c r="D53" s="1666">
        <f t="shared" ref="D53:L53" si="5">SUM(D49:D52)</f>
        <v>71131</v>
      </c>
      <c r="E53" s="1666">
        <f t="shared" si="5"/>
        <v>129786</v>
      </c>
      <c r="F53" s="1666">
        <f t="shared" si="5"/>
        <v>16519</v>
      </c>
      <c r="G53" s="1666">
        <f t="shared" si="5"/>
        <v>0</v>
      </c>
      <c r="H53" s="1666">
        <f t="shared" si="5"/>
        <v>13118</v>
      </c>
      <c r="I53" s="1666">
        <f t="shared" si="5"/>
        <v>0</v>
      </c>
      <c r="J53" s="1666">
        <f t="shared" si="5"/>
        <v>0</v>
      </c>
      <c r="K53" s="1666">
        <f t="shared" si="5"/>
        <v>407411</v>
      </c>
      <c r="L53" s="1666">
        <f t="shared" si="5"/>
        <v>437331</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232351</v>
      </c>
      <c r="D55" s="479">
        <v>88422</v>
      </c>
      <c r="E55" s="479">
        <v>15804</v>
      </c>
      <c r="F55" s="479">
        <v>521</v>
      </c>
      <c r="G55" s="479">
        <v>0</v>
      </c>
      <c r="H55" s="479">
        <v>790</v>
      </c>
      <c r="I55" s="467">
        <v>0</v>
      </c>
      <c r="J55" s="467">
        <v>0</v>
      </c>
      <c r="K55" s="1668">
        <f>SUM(C55:J55)</f>
        <v>337888</v>
      </c>
      <c r="L55" s="479">
        <v>347190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232351</v>
      </c>
      <c r="D57" s="1670">
        <f t="shared" ref="D57:K57" si="6">SUM(D55:D56)</f>
        <v>88422</v>
      </c>
      <c r="E57" s="1670">
        <f t="shared" si="6"/>
        <v>15804</v>
      </c>
      <c r="F57" s="1670">
        <f t="shared" si="6"/>
        <v>521</v>
      </c>
      <c r="G57" s="1670">
        <f t="shared" si="6"/>
        <v>0</v>
      </c>
      <c r="H57" s="1670">
        <f t="shared" si="6"/>
        <v>790</v>
      </c>
      <c r="I57" s="1670">
        <f t="shared" si="6"/>
        <v>0</v>
      </c>
      <c r="J57" s="1670">
        <f t="shared" si="6"/>
        <v>0</v>
      </c>
      <c r="K57" s="1670">
        <f t="shared" si="6"/>
        <v>337888</v>
      </c>
      <c r="L57" s="1666">
        <f>SUM(L55:L56)</f>
        <v>347190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72100</v>
      </c>
      <c r="D60" s="466">
        <v>6162</v>
      </c>
      <c r="E60" s="466">
        <v>89</v>
      </c>
      <c r="F60" s="466">
        <v>8881</v>
      </c>
      <c r="G60" s="466">
        <v>0</v>
      </c>
      <c r="H60" s="466">
        <v>394</v>
      </c>
      <c r="I60" s="467">
        <v>0</v>
      </c>
      <c r="J60" s="467">
        <v>0</v>
      </c>
      <c r="K60" s="1668">
        <f t="shared" si="7"/>
        <v>87626</v>
      </c>
      <c r="L60" s="466">
        <v>99100</v>
      </c>
      <c r="M60" s="606"/>
      <c r="N60" s="606"/>
    </row>
    <row r="61" spans="1:14" s="343" customFormat="1" x14ac:dyDescent="0.2">
      <c r="A61" s="1500" t="s">
        <v>197</v>
      </c>
      <c r="B61" s="611">
        <v>2540</v>
      </c>
      <c r="C61" s="466">
        <v>0</v>
      </c>
      <c r="D61" s="466">
        <v>0</v>
      </c>
      <c r="E61" s="466">
        <v>0</v>
      </c>
      <c r="F61" s="466">
        <v>0</v>
      </c>
      <c r="G61" s="466">
        <v>0</v>
      </c>
      <c r="H61" s="466">
        <v>0</v>
      </c>
      <c r="I61" s="467">
        <v>0</v>
      </c>
      <c r="J61" s="467">
        <v>0</v>
      </c>
      <c r="K61" s="1668">
        <f t="shared" si="7"/>
        <v>0</v>
      </c>
      <c r="L61" s="466">
        <v>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124736</v>
      </c>
      <c r="D63" s="466">
        <v>1861</v>
      </c>
      <c r="E63" s="466">
        <v>0</v>
      </c>
      <c r="F63" s="466">
        <v>84484</v>
      </c>
      <c r="G63" s="466">
        <v>0</v>
      </c>
      <c r="H63" s="466">
        <v>0</v>
      </c>
      <c r="I63" s="467">
        <v>0</v>
      </c>
      <c r="J63" s="467">
        <v>0</v>
      </c>
      <c r="K63" s="1668">
        <f t="shared" si="7"/>
        <v>211081</v>
      </c>
      <c r="L63" s="466">
        <v>205000</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196836</v>
      </c>
      <c r="D65" s="1666">
        <f t="shared" ref="D65:L65" si="8">SUM(D59:D64)</f>
        <v>8023</v>
      </c>
      <c r="E65" s="1666">
        <f t="shared" si="8"/>
        <v>89</v>
      </c>
      <c r="F65" s="1666">
        <f t="shared" si="8"/>
        <v>93365</v>
      </c>
      <c r="G65" s="1666">
        <f t="shared" si="8"/>
        <v>0</v>
      </c>
      <c r="H65" s="1666">
        <f t="shared" si="8"/>
        <v>394</v>
      </c>
      <c r="I65" s="1666">
        <f t="shared" si="8"/>
        <v>0</v>
      </c>
      <c r="J65" s="1666">
        <f t="shared" si="8"/>
        <v>0</v>
      </c>
      <c r="K65" s="1666">
        <f t="shared" si="8"/>
        <v>298707</v>
      </c>
      <c r="L65" s="1666">
        <f t="shared" si="8"/>
        <v>304100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0</v>
      </c>
      <c r="F71" s="466">
        <v>0</v>
      </c>
      <c r="G71" s="466">
        <v>0</v>
      </c>
      <c r="H71" s="466">
        <v>0</v>
      </c>
      <c r="I71" s="467">
        <v>0</v>
      </c>
      <c r="J71" s="467">
        <v>0</v>
      </c>
      <c r="K71" s="1668">
        <f>SUM(C71:J71)</f>
        <v>0</v>
      </c>
      <c r="L71" s="466">
        <v>0</v>
      </c>
      <c r="M71" s="606"/>
      <c r="N71" s="606"/>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970949</v>
      </c>
      <c r="D74" s="1673">
        <f t="shared" ref="D74:K74" si="10">SUM(D42,D47,D53,D57,D65,D72,D73)</f>
        <v>225905</v>
      </c>
      <c r="E74" s="1673">
        <f t="shared" si="10"/>
        <v>197710</v>
      </c>
      <c r="F74" s="1673">
        <f t="shared" si="10"/>
        <v>210763</v>
      </c>
      <c r="G74" s="1673">
        <f t="shared" si="10"/>
        <v>144689</v>
      </c>
      <c r="H74" s="1673">
        <f t="shared" si="10"/>
        <v>14302</v>
      </c>
      <c r="I74" s="1673">
        <f t="shared" si="10"/>
        <v>0</v>
      </c>
      <c r="J74" s="1673">
        <f t="shared" si="10"/>
        <v>0</v>
      </c>
      <c r="K74" s="1673">
        <f t="shared" si="10"/>
        <v>1764318</v>
      </c>
      <c r="L74" s="1673">
        <f>SUM(L42,L47,L53,L57,L65,L72,L73)</f>
        <v>1923262</v>
      </c>
    </row>
    <row r="75" spans="1:14" s="259" customFormat="1" ht="15.75" customHeight="1" thickTop="1" thickBot="1" x14ac:dyDescent="0.25">
      <c r="A75" s="1606" t="s">
        <v>47</v>
      </c>
      <c r="B75" s="1607" t="s">
        <v>575</v>
      </c>
      <c r="C75" s="467">
        <v>0</v>
      </c>
      <c r="D75" s="467">
        <v>0</v>
      </c>
      <c r="E75" s="467">
        <v>0</v>
      </c>
      <c r="F75" s="467">
        <v>0</v>
      </c>
      <c r="G75" s="467">
        <v>0</v>
      </c>
      <c r="H75" s="467">
        <v>1540</v>
      </c>
      <c r="I75" s="467">
        <v>0</v>
      </c>
      <c r="J75" s="467">
        <v>0</v>
      </c>
      <c r="K75" s="1666">
        <f>SUM(C75:J75)</f>
        <v>1540</v>
      </c>
      <c r="L75" s="573">
        <v>1540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52050</v>
      </c>
      <c r="F79" s="613"/>
      <c r="G79" s="613"/>
      <c r="H79" s="466">
        <v>1500</v>
      </c>
      <c r="I79" s="475"/>
      <c r="J79" s="475"/>
      <c r="K79" s="1667">
        <f t="shared" si="11"/>
        <v>53550</v>
      </c>
      <c r="L79" s="466">
        <v>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1500</v>
      </c>
    </row>
    <row r="84" spans="1:12" ht="13.5" thickBot="1" x14ac:dyDescent="0.25">
      <c r="A84" s="1664" t="s">
        <v>1485</v>
      </c>
      <c r="B84" s="1674">
        <v>4100</v>
      </c>
      <c r="C84" s="613"/>
      <c r="D84" s="613"/>
      <c r="E84" s="1666">
        <f>SUM(E78:E83)</f>
        <v>52050</v>
      </c>
      <c r="F84" s="613"/>
      <c r="G84" s="613"/>
      <c r="H84" s="1666">
        <f>SUM(H78:H83)</f>
        <v>1500</v>
      </c>
      <c r="I84" s="475"/>
      <c r="J84" s="475"/>
      <c r="K84" s="1666">
        <f>SUM(K78:K83)</f>
        <v>53550</v>
      </c>
      <c r="L84" s="1666">
        <f>SUM(L78:L83)</f>
        <v>1500</v>
      </c>
    </row>
    <row r="85" spans="1:12" ht="12.75" customHeight="1" thickTop="1" thickBot="1" x14ac:dyDescent="0.25">
      <c r="A85" s="1507" t="s">
        <v>255</v>
      </c>
      <c r="B85" s="632">
        <v>4210</v>
      </c>
      <c r="C85" s="613"/>
      <c r="D85" s="613"/>
      <c r="E85" s="633"/>
      <c r="F85" s="613"/>
      <c r="G85" s="613"/>
      <c r="H85" s="532">
        <v>0</v>
      </c>
      <c r="I85" s="475"/>
      <c r="J85" s="475"/>
      <c r="K85" s="1673">
        <f>H85</f>
        <v>0</v>
      </c>
      <c r="L85" s="527">
        <v>0</v>
      </c>
    </row>
    <row r="86" spans="1:12" ht="12.75" customHeight="1" thickTop="1" thickBot="1" x14ac:dyDescent="0.25">
      <c r="A86" s="1508" t="s">
        <v>699</v>
      </c>
      <c r="B86" s="634">
        <v>4220</v>
      </c>
      <c r="C86" s="613"/>
      <c r="D86" s="613"/>
      <c r="E86" s="635"/>
      <c r="F86" s="613"/>
      <c r="G86" s="613"/>
      <c r="H86" s="467">
        <v>32740</v>
      </c>
      <c r="I86" s="475"/>
      <c r="J86" s="475"/>
      <c r="K86" s="1673">
        <f t="shared" ref="K86:K98" si="12">H86</f>
        <v>32740</v>
      </c>
      <c r="L86" s="527">
        <v>40000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32740</v>
      </c>
      <c r="I92" s="475"/>
      <c r="J92" s="475"/>
      <c r="K92" s="1673">
        <f t="shared" si="12"/>
        <v>32740</v>
      </c>
      <c r="L92" s="1666">
        <f>SUM(L85:L91)</f>
        <v>40000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52050</v>
      </c>
      <c r="F102" s="613"/>
      <c r="G102" s="613"/>
      <c r="H102" s="1673">
        <f>SUM(H84,H92,H100,H101)</f>
        <v>34240</v>
      </c>
      <c r="I102" s="475"/>
      <c r="J102" s="475"/>
      <c r="K102" s="1673">
        <f>SUM(K84,K92,K100,K101)</f>
        <v>86290</v>
      </c>
      <c r="L102" s="1673">
        <f>SUM(L84,L92,L100,L101)</f>
        <v>41500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0</v>
      </c>
      <c r="M113" s="610"/>
      <c r="N113" s="610"/>
    </row>
    <row r="114" spans="1:14" ht="12.75" customHeight="1" thickTop="1" thickBot="1" x14ac:dyDescent="0.25">
      <c r="A114" s="1664" t="s">
        <v>48</v>
      </c>
      <c r="B114" s="1678"/>
      <c r="C114" s="1666">
        <f>SUM(C33,C74,C75,C102,C112,C113)</f>
        <v>4554014</v>
      </c>
      <c r="D114" s="1666">
        <f t="shared" ref="D114:K114" si="13">SUM(D33,D74,D75,D102,D112,D113)</f>
        <v>1093931</v>
      </c>
      <c r="E114" s="1666">
        <f t="shared" si="13"/>
        <v>318964</v>
      </c>
      <c r="F114" s="1666">
        <f t="shared" si="13"/>
        <v>356934</v>
      </c>
      <c r="G114" s="1666">
        <f t="shared" si="13"/>
        <v>168364</v>
      </c>
      <c r="H114" s="1666">
        <f>SUM(H33,H74,H75,H102,H112,H113)</f>
        <v>88457</v>
      </c>
      <c r="I114" s="1666">
        <f t="shared" si="13"/>
        <v>0</v>
      </c>
      <c r="J114" s="1666">
        <f t="shared" si="13"/>
        <v>0</v>
      </c>
      <c r="K114" s="1666">
        <f t="shared" si="13"/>
        <v>6580664</v>
      </c>
      <c r="L114" s="1666">
        <f>SUM(L33,L74,L75,L102,L112,L113)</f>
        <v>6644419</v>
      </c>
    </row>
    <row r="115" spans="1:14" ht="13.5" thickTop="1" x14ac:dyDescent="0.2">
      <c r="A115" s="2156" t="s">
        <v>996</v>
      </c>
      <c r="B115" s="2157"/>
      <c r="C115" s="615"/>
      <c r="D115" s="615"/>
      <c r="E115" s="615"/>
      <c r="F115" s="615"/>
      <c r="G115" s="615"/>
      <c r="H115" s="615"/>
      <c r="I115" s="615"/>
      <c r="J115" s="615"/>
      <c r="K115" s="1680">
        <f>'Revenues 9-14'!C268-'Expenditures 15-22'!K114</f>
        <v>184076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61" t="s">
        <v>296</v>
      </c>
      <c r="B117" s="2162"/>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74200</v>
      </c>
      <c r="D120" s="466">
        <v>9478</v>
      </c>
      <c r="E120" s="466">
        <v>39</v>
      </c>
      <c r="F120" s="466">
        <v>4416</v>
      </c>
      <c r="G120" s="466">
        <v>15000</v>
      </c>
      <c r="H120" s="466">
        <v>0</v>
      </c>
      <c r="I120" s="467">
        <v>0</v>
      </c>
      <c r="J120" s="467">
        <v>0</v>
      </c>
      <c r="K120" s="1667">
        <f>SUM(C120:J120)</f>
        <v>103133</v>
      </c>
      <c r="L120" s="466">
        <v>105300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3423</v>
      </c>
      <c r="F123" s="466">
        <v>0</v>
      </c>
      <c r="G123" s="466">
        <v>5000</v>
      </c>
      <c r="H123" s="466">
        <v>8018</v>
      </c>
      <c r="I123" s="467">
        <v>0</v>
      </c>
      <c r="J123" s="467">
        <v>0</v>
      </c>
      <c r="K123" s="1666">
        <f>SUM(C123:J123)</f>
        <v>16441</v>
      </c>
      <c r="L123" s="466">
        <v>19000</v>
      </c>
    </row>
    <row r="124" spans="1:14" ht="14.25" thickTop="1" thickBot="1" x14ac:dyDescent="0.25">
      <c r="A124" s="1500" t="s">
        <v>197</v>
      </c>
      <c r="B124" s="611">
        <v>2540</v>
      </c>
      <c r="C124" s="466">
        <v>328154</v>
      </c>
      <c r="D124" s="466">
        <v>64334</v>
      </c>
      <c r="E124" s="466">
        <v>136884</v>
      </c>
      <c r="F124" s="466">
        <v>231201</v>
      </c>
      <c r="G124" s="466">
        <v>108907</v>
      </c>
      <c r="H124" s="466">
        <v>0</v>
      </c>
      <c r="I124" s="467">
        <v>0</v>
      </c>
      <c r="J124" s="467">
        <v>0</v>
      </c>
      <c r="K124" s="1666">
        <f>SUM(C124:J124)</f>
        <v>869480</v>
      </c>
      <c r="L124" s="466">
        <v>1073900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328154</v>
      </c>
      <c r="D127" s="1666">
        <f t="shared" ref="D127:L127" si="14">SUM(D122:D126)</f>
        <v>64334</v>
      </c>
      <c r="E127" s="1666">
        <f t="shared" si="14"/>
        <v>140307</v>
      </c>
      <c r="F127" s="1666">
        <f t="shared" si="14"/>
        <v>231201</v>
      </c>
      <c r="G127" s="1666">
        <f t="shared" si="14"/>
        <v>113907</v>
      </c>
      <c r="H127" s="1666">
        <f t="shared" si="14"/>
        <v>8018</v>
      </c>
      <c r="I127" s="1666">
        <f t="shared" si="14"/>
        <v>0</v>
      </c>
      <c r="J127" s="1666">
        <f t="shared" si="14"/>
        <v>0</v>
      </c>
      <c r="K127" s="1666">
        <f t="shared" si="14"/>
        <v>885921</v>
      </c>
      <c r="L127" s="1666">
        <f t="shared" si="14"/>
        <v>1092900</v>
      </c>
    </row>
    <row r="128" spans="1:14" ht="12.75" customHeight="1" thickTop="1" x14ac:dyDescent="0.2">
      <c r="A128" s="1507" t="s">
        <v>980</v>
      </c>
      <c r="B128" s="652" t="s">
        <v>574</v>
      </c>
      <c r="C128" s="653">
        <v>0</v>
      </c>
      <c r="D128" s="653">
        <v>0</v>
      </c>
      <c r="E128" s="653">
        <v>17972</v>
      </c>
      <c r="F128" s="653">
        <v>0</v>
      </c>
      <c r="G128" s="653">
        <v>0</v>
      </c>
      <c r="H128" s="653">
        <v>0</v>
      </c>
      <c r="I128" s="532">
        <v>0</v>
      </c>
      <c r="J128" s="532">
        <v>0</v>
      </c>
      <c r="K128" s="1681">
        <f>SUM(C128:J128)</f>
        <v>17972</v>
      </c>
      <c r="L128" s="653">
        <v>25000</v>
      </c>
    </row>
    <row r="129" spans="1:14" ht="12.75" customHeight="1" thickBot="1" x14ac:dyDescent="0.25">
      <c r="A129" s="1682" t="s">
        <v>811</v>
      </c>
      <c r="B129" s="1683" t="s">
        <v>569</v>
      </c>
      <c r="C129" s="1673">
        <f>SUM(C120,C127,C128)</f>
        <v>402354</v>
      </c>
      <c r="D129" s="1673">
        <f t="shared" ref="D129:L129" si="15">SUM(D120,D127,D128)</f>
        <v>73812</v>
      </c>
      <c r="E129" s="1673">
        <f t="shared" si="15"/>
        <v>158318</v>
      </c>
      <c r="F129" s="1673">
        <f t="shared" si="15"/>
        <v>235617</v>
      </c>
      <c r="G129" s="1673">
        <f t="shared" si="15"/>
        <v>128907</v>
      </c>
      <c r="H129" s="1673">
        <f t="shared" si="15"/>
        <v>8018</v>
      </c>
      <c r="I129" s="1673">
        <f t="shared" si="15"/>
        <v>0</v>
      </c>
      <c r="J129" s="1673">
        <f t="shared" si="15"/>
        <v>0</v>
      </c>
      <c r="K129" s="1673">
        <f t="shared" si="15"/>
        <v>1007026</v>
      </c>
      <c r="L129" s="1673">
        <f t="shared" si="15"/>
        <v>1223200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0</v>
      </c>
    </row>
    <row r="151" spans="1:14" ht="12.75" customHeight="1" thickTop="1" thickBot="1" x14ac:dyDescent="0.25">
      <c r="A151" s="2173" t="s">
        <v>620</v>
      </c>
      <c r="B151" s="2153"/>
      <c r="C151" s="1666">
        <f>SUM(C129,C130,C139,C149,C150)</f>
        <v>402354</v>
      </c>
      <c r="D151" s="1666">
        <f t="shared" ref="D151:K151" si="16">SUM(D129,D130,D139,D149,D150)</f>
        <v>73812</v>
      </c>
      <c r="E151" s="1666">
        <f t="shared" si="16"/>
        <v>158318</v>
      </c>
      <c r="F151" s="1666">
        <f t="shared" si="16"/>
        <v>235617</v>
      </c>
      <c r="G151" s="1666">
        <f t="shared" si="16"/>
        <v>128907</v>
      </c>
      <c r="H151" s="1666">
        <f t="shared" si="16"/>
        <v>8018</v>
      </c>
      <c r="I151" s="1666">
        <f t="shared" si="16"/>
        <v>0</v>
      </c>
      <c r="J151" s="1666">
        <f t="shared" si="16"/>
        <v>0</v>
      </c>
      <c r="K151" s="1666">
        <f t="shared" si="16"/>
        <v>1007026</v>
      </c>
      <c r="L151" s="1666">
        <f>SUM(L129,L130,L139,L149,L150)</f>
        <v>1223200</v>
      </c>
    </row>
    <row r="152" spans="1:14" ht="12.75" customHeight="1" thickTop="1" x14ac:dyDescent="0.2">
      <c r="A152" s="2176" t="s">
        <v>1178</v>
      </c>
      <c r="B152" s="2177"/>
      <c r="C152" s="615"/>
      <c r="D152" s="615"/>
      <c r="E152" s="615"/>
      <c r="F152" s="615"/>
      <c r="G152" s="615"/>
      <c r="H152" s="615"/>
      <c r="I152" s="615"/>
      <c r="J152" s="613"/>
      <c r="K152" s="1680">
        <f>'Revenues 9-14'!D268-'Expenditures 15-22'!K151</f>
        <v>285198</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61" t="s">
        <v>621</v>
      </c>
      <c r="B154" s="2163"/>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0</v>
      </c>
      <c r="I169" s="613"/>
      <c r="J169" s="613"/>
      <c r="K169" s="1667">
        <f>SUM(C169:H169)</f>
        <v>0</v>
      </c>
      <c r="L169" s="653">
        <v>0</v>
      </c>
    </row>
    <row r="170" spans="1:14" ht="33.75" customHeight="1" x14ac:dyDescent="0.2">
      <c r="A170" s="666" t="s">
        <v>1670</v>
      </c>
      <c r="B170" s="668" t="s">
        <v>31</v>
      </c>
      <c r="C170" s="613"/>
      <c r="D170" s="613"/>
      <c r="E170" s="613"/>
      <c r="F170" s="613"/>
      <c r="G170" s="613"/>
      <c r="H170" s="566">
        <v>0</v>
      </c>
      <c r="I170" s="613"/>
      <c r="J170" s="613"/>
      <c r="K170" s="1667">
        <f>SUM(C170:J170)</f>
        <v>0</v>
      </c>
      <c r="L170" s="566">
        <v>0</v>
      </c>
    </row>
    <row r="171" spans="1:14" ht="15.75" customHeight="1" x14ac:dyDescent="0.2">
      <c r="A171" s="618" t="s">
        <v>766</v>
      </c>
      <c r="B171" s="669" t="s">
        <v>84</v>
      </c>
      <c r="C171" s="613"/>
      <c r="D171" s="613"/>
      <c r="E171" s="466">
        <v>0</v>
      </c>
      <c r="F171" s="613"/>
      <c r="G171" s="613"/>
      <c r="H171" s="566">
        <v>0</v>
      </c>
      <c r="I171" s="475"/>
      <c r="J171" s="613"/>
      <c r="K171" s="1667">
        <f>SUM(C171:J171)</f>
        <v>0</v>
      </c>
      <c r="L171" s="566">
        <v>0</v>
      </c>
    </row>
    <row r="172" spans="1:14" ht="12.75" customHeight="1" thickBot="1" x14ac:dyDescent="0.25">
      <c r="A172" s="1664" t="s">
        <v>638</v>
      </c>
      <c r="B172" s="1665" t="s">
        <v>492</v>
      </c>
      <c r="C172" s="613"/>
      <c r="D172" s="613"/>
      <c r="E172" s="1673">
        <f>SUM(E168,E169,E170,E171)</f>
        <v>0</v>
      </c>
      <c r="F172" s="613"/>
      <c r="G172" s="613"/>
      <c r="H172" s="1673">
        <f>SUM(H168,H169,H170,H171)</f>
        <v>0</v>
      </c>
      <c r="I172" s="635"/>
      <c r="J172" s="613"/>
      <c r="K172" s="1673">
        <f>SUM(K168,K169,K170,K171)</f>
        <v>0</v>
      </c>
      <c r="L172" s="1673">
        <f>SUM(L168,L169,L170,L171)</f>
        <v>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0</v>
      </c>
      <c r="I174" s="635"/>
      <c r="J174" s="613"/>
      <c r="K174" s="1673">
        <f>SUM(K160,K172,K173)</f>
        <v>0</v>
      </c>
      <c r="L174" s="1673">
        <f>SUM(L160,L172,L173)</f>
        <v>0</v>
      </c>
    </row>
    <row r="175" spans="1:14" ht="13.5" thickTop="1" x14ac:dyDescent="0.2">
      <c r="A175" s="2156" t="s">
        <v>996</v>
      </c>
      <c r="B175" s="2157"/>
      <c r="C175" s="613"/>
      <c r="D175" s="613"/>
      <c r="E175" s="613"/>
      <c r="F175" s="613"/>
      <c r="G175" s="613"/>
      <c r="H175" s="615"/>
      <c r="I175" s="613"/>
      <c r="J175" s="613"/>
      <c r="K175" s="1680">
        <f>'Revenues 9-14'!E268-'Expenditures 15-22'!K174</f>
        <v>669</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81837</v>
      </c>
      <c r="D182" s="466">
        <v>9944</v>
      </c>
      <c r="E182" s="466">
        <v>132784</v>
      </c>
      <c r="F182" s="466">
        <v>10125</v>
      </c>
      <c r="G182" s="466">
        <v>76293</v>
      </c>
      <c r="H182" s="466">
        <v>0</v>
      </c>
      <c r="I182" s="467">
        <v>0</v>
      </c>
      <c r="J182" s="467">
        <v>0</v>
      </c>
      <c r="K182" s="1667">
        <f>SUM(C182:J182)</f>
        <v>310983</v>
      </c>
      <c r="L182" s="466">
        <v>352900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81837</v>
      </c>
      <c r="D184" s="1673">
        <f t="shared" ref="D184:J184" si="17">SUM(D180,D182,D183)</f>
        <v>9944</v>
      </c>
      <c r="E184" s="1673">
        <f t="shared" si="17"/>
        <v>132784</v>
      </c>
      <c r="F184" s="1673">
        <f t="shared" si="17"/>
        <v>10125</v>
      </c>
      <c r="G184" s="1673">
        <f t="shared" si="17"/>
        <v>76293</v>
      </c>
      <c r="H184" s="1673">
        <f t="shared" si="17"/>
        <v>0</v>
      </c>
      <c r="I184" s="1673">
        <f t="shared" si="17"/>
        <v>0</v>
      </c>
      <c r="J184" s="1673">
        <f t="shared" si="17"/>
        <v>0</v>
      </c>
      <c r="K184" s="1673">
        <f>SUM(K180,K182,K183)</f>
        <v>310983</v>
      </c>
      <c r="L184" s="1673">
        <f>SUM(L180, L182:L183)</f>
        <v>352900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0</v>
      </c>
    </row>
    <row r="210" spans="1:14" ht="12.75" customHeight="1" thickTop="1" thickBot="1" x14ac:dyDescent="0.25">
      <c r="A210" s="1688" t="s">
        <v>277</v>
      </c>
      <c r="B210" s="1689"/>
      <c r="C210" s="1666">
        <f>SUM(C184,C185)</f>
        <v>81837</v>
      </c>
      <c r="D210" s="1666">
        <f>SUM(D184,D185)</f>
        <v>9944</v>
      </c>
      <c r="E210" s="1666">
        <f>SUM(E184,E185,E196)</f>
        <v>132784</v>
      </c>
      <c r="F210" s="1666">
        <f>SUM(F184,F185)</f>
        <v>10125</v>
      </c>
      <c r="G210" s="1666">
        <f>SUM(G184,G185)</f>
        <v>76293</v>
      </c>
      <c r="H210" s="1666">
        <f>SUM(H184,H185,H196,H208,H209)</f>
        <v>0</v>
      </c>
      <c r="I210" s="1666">
        <f>SUM(I184,I185)</f>
        <v>0</v>
      </c>
      <c r="J210" s="1666">
        <f>SUM(J184,J185)</f>
        <v>0</v>
      </c>
      <c r="K210" s="1667">
        <f>SUM(K184,K185,K196,K208,K209)</f>
        <v>310983</v>
      </c>
      <c r="L210" s="1666">
        <f>SUM(L184,L185,L196,L208,L209)</f>
        <v>352900</v>
      </c>
    </row>
    <row r="211" spans="1:14" ht="13.5" thickTop="1" x14ac:dyDescent="0.2">
      <c r="A211" s="2156" t="s">
        <v>996</v>
      </c>
      <c r="B211" s="2157"/>
      <c r="C211" s="615"/>
      <c r="D211" s="615"/>
      <c r="E211" s="615"/>
      <c r="F211" s="615"/>
      <c r="G211" s="615"/>
      <c r="H211" s="615"/>
      <c r="I211" s="613"/>
      <c r="J211" s="613"/>
      <c r="K211" s="1680">
        <f>'Revenues 9-14'!F268-'Expenditures 15-22'!K210</f>
        <v>-9734</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8" t="s">
        <v>965</v>
      </c>
      <c r="B213" s="2179"/>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34650</v>
      </c>
      <c r="E215" s="613"/>
      <c r="F215" s="613"/>
      <c r="G215" s="613"/>
      <c r="H215" s="613"/>
      <c r="I215" s="613"/>
      <c r="J215" s="613"/>
      <c r="K215" s="1667">
        <f>D215</f>
        <v>34650</v>
      </c>
      <c r="L215" s="466">
        <v>34045</v>
      </c>
    </row>
    <row r="216" spans="1:14" x14ac:dyDescent="0.2">
      <c r="A216" s="1500" t="s">
        <v>163</v>
      </c>
      <c r="B216" s="611" t="s">
        <v>967</v>
      </c>
      <c r="C216" s="613"/>
      <c r="D216" s="467">
        <v>4021</v>
      </c>
      <c r="E216" s="613"/>
      <c r="F216" s="613"/>
      <c r="G216" s="613"/>
      <c r="H216" s="613"/>
      <c r="I216" s="613"/>
      <c r="J216" s="613"/>
      <c r="K216" s="1667">
        <f t="shared" ref="K216:K228" si="19">D216</f>
        <v>4021</v>
      </c>
      <c r="L216" s="466">
        <v>4750</v>
      </c>
    </row>
    <row r="217" spans="1:14" x14ac:dyDescent="0.2">
      <c r="A217" s="1500" t="s">
        <v>164</v>
      </c>
      <c r="B217" s="611">
        <v>1200</v>
      </c>
      <c r="C217" s="613"/>
      <c r="D217" s="466">
        <v>44470</v>
      </c>
      <c r="E217" s="613"/>
      <c r="F217" s="613"/>
      <c r="G217" s="613"/>
      <c r="H217" s="613"/>
      <c r="I217" s="613"/>
      <c r="J217" s="613"/>
      <c r="K217" s="1667">
        <f t="shared" si="19"/>
        <v>44470</v>
      </c>
      <c r="L217" s="466">
        <v>45400</v>
      </c>
    </row>
    <row r="218" spans="1:14" x14ac:dyDescent="0.2">
      <c r="A218" s="1500" t="s">
        <v>278</v>
      </c>
      <c r="B218" s="611" t="s">
        <v>968</v>
      </c>
      <c r="C218" s="613"/>
      <c r="D218" s="467">
        <v>5438</v>
      </c>
      <c r="E218" s="613"/>
      <c r="F218" s="613"/>
      <c r="G218" s="613"/>
      <c r="H218" s="613"/>
      <c r="I218" s="613"/>
      <c r="J218" s="613"/>
      <c r="K218" s="1667">
        <f t="shared" si="19"/>
        <v>5438</v>
      </c>
      <c r="L218" s="466">
        <v>3260</v>
      </c>
    </row>
    <row r="219" spans="1:14" x14ac:dyDescent="0.2">
      <c r="A219" s="1500" t="s">
        <v>279</v>
      </c>
      <c r="B219" s="611">
        <v>1250</v>
      </c>
      <c r="C219" s="613"/>
      <c r="D219" s="466">
        <v>5643</v>
      </c>
      <c r="E219" s="613"/>
      <c r="F219" s="613"/>
      <c r="G219" s="613"/>
      <c r="H219" s="613"/>
      <c r="I219" s="613"/>
      <c r="J219" s="613"/>
      <c r="K219" s="1667">
        <f t="shared" si="19"/>
        <v>5643</v>
      </c>
      <c r="L219" s="466">
        <v>8150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0</v>
      </c>
      <c r="E222" s="613"/>
      <c r="F222" s="613"/>
      <c r="G222" s="613"/>
      <c r="H222" s="613"/>
      <c r="I222" s="613"/>
      <c r="J222" s="613"/>
      <c r="K222" s="1667">
        <f t="shared" si="19"/>
        <v>0</v>
      </c>
      <c r="L222" s="466">
        <v>0</v>
      </c>
    </row>
    <row r="223" spans="1:14" x14ac:dyDescent="0.2">
      <c r="A223" s="1500" t="s">
        <v>963</v>
      </c>
      <c r="B223" s="611">
        <v>1500</v>
      </c>
      <c r="C223" s="613"/>
      <c r="D223" s="466">
        <v>3840</v>
      </c>
      <c r="E223" s="613"/>
      <c r="F223" s="613"/>
      <c r="G223" s="613"/>
      <c r="H223" s="613"/>
      <c r="I223" s="613"/>
      <c r="J223" s="613"/>
      <c r="K223" s="1667">
        <f t="shared" si="19"/>
        <v>3840</v>
      </c>
      <c r="L223" s="466">
        <v>4100</v>
      </c>
    </row>
    <row r="224" spans="1:14" x14ac:dyDescent="0.2">
      <c r="A224" s="1500" t="s">
        <v>964</v>
      </c>
      <c r="B224" s="611">
        <v>1600</v>
      </c>
      <c r="C224" s="613"/>
      <c r="D224" s="466">
        <v>242</v>
      </c>
      <c r="E224" s="613"/>
      <c r="F224" s="613"/>
      <c r="G224" s="613"/>
      <c r="H224" s="613"/>
      <c r="I224" s="613"/>
      <c r="J224" s="613"/>
      <c r="K224" s="1667">
        <f t="shared" si="19"/>
        <v>242</v>
      </c>
      <c r="L224" s="466">
        <v>150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0</v>
      </c>
      <c r="E226" s="613"/>
      <c r="F226" s="613"/>
      <c r="G226" s="613"/>
      <c r="H226" s="613"/>
      <c r="I226" s="613"/>
      <c r="J226" s="613"/>
      <c r="K226" s="1667">
        <f t="shared" si="19"/>
        <v>0</v>
      </c>
      <c r="L226" s="466">
        <v>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98304</v>
      </c>
      <c r="E229" s="613"/>
      <c r="F229" s="613"/>
      <c r="G229" s="613"/>
      <c r="H229" s="613"/>
      <c r="I229" s="613"/>
      <c r="J229" s="613"/>
      <c r="K229" s="1666">
        <f>SUM(K215:K228)</f>
        <v>98304</v>
      </c>
      <c r="L229" s="1666">
        <f>SUM(L215:L228)</f>
        <v>99855</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685</v>
      </c>
      <c r="E232" s="613"/>
      <c r="F232" s="613"/>
      <c r="G232" s="613"/>
      <c r="H232" s="613"/>
      <c r="I232" s="613"/>
      <c r="J232" s="613"/>
      <c r="K232" s="1667">
        <f t="shared" ref="K232:K237" si="20">D232</f>
        <v>685</v>
      </c>
      <c r="L232" s="466">
        <v>1100</v>
      </c>
    </row>
    <row r="233" spans="1:12" x14ac:dyDescent="0.2">
      <c r="A233" s="1500" t="s">
        <v>1090</v>
      </c>
      <c r="B233" s="611">
        <v>2120</v>
      </c>
      <c r="C233" s="613"/>
      <c r="D233" s="466">
        <v>0</v>
      </c>
      <c r="E233" s="613"/>
      <c r="F233" s="613"/>
      <c r="G233" s="613"/>
      <c r="H233" s="613"/>
      <c r="I233" s="613"/>
      <c r="J233" s="613"/>
      <c r="K233" s="1667">
        <f t="shared" si="20"/>
        <v>0</v>
      </c>
      <c r="L233" s="466">
        <v>0</v>
      </c>
    </row>
    <row r="234" spans="1:12" x14ac:dyDescent="0.2">
      <c r="A234" s="1500" t="s">
        <v>198</v>
      </c>
      <c r="B234" s="611">
        <v>2130</v>
      </c>
      <c r="C234" s="613"/>
      <c r="D234" s="466">
        <v>8892</v>
      </c>
      <c r="E234" s="613"/>
      <c r="F234" s="613"/>
      <c r="G234" s="613"/>
      <c r="H234" s="613"/>
      <c r="I234" s="613"/>
      <c r="J234" s="613"/>
      <c r="K234" s="1667">
        <f t="shared" si="20"/>
        <v>8892</v>
      </c>
      <c r="L234" s="466">
        <v>9400</v>
      </c>
    </row>
    <row r="235" spans="1:12" x14ac:dyDescent="0.2">
      <c r="A235" s="1500" t="s">
        <v>199</v>
      </c>
      <c r="B235" s="611">
        <v>2140</v>
      </c>
      <c r="C235" s="613"/>
      <c r="D235" s="466">
        <v>1020</v>
      </c>
      <c r="E235" s="613"/>
      <c r="F235" s="613"/>
      <c r="G235" s="613"/>
      <c r="H235" s="613"/>
      <c r="I235" s="613"/>
      <c r="J235" s="613"/>
      <c r="K235" s="1667">
        <f t="shared" si="20"/>
        <v>1020</v>
      </c>
      <c r="L235" s="466">
        <v>1050</v>
      </c>
    </row>
    <row r="236" spans="1:12" x14ac:dyDescent="0.2">
      <c r="A236" s="1500" t="s">
        <v>200</v>
      </c>
      <c r="B236" s="611">
        <v>2150</v>
      </c>
      <c r="C236" s="613"/>
      <c r="D236" s="466">
        <v>902</v>
      </c>
      <c r="E236" s="613"/>
      <c r="F236" s="613"/>
      <c r="G236" s="613"/>
      <c r="H236" s="613"/>
      <c r="I236" s="613"/>
      <c r="J236" s="613"/>
      <c r="K236" s="1667">
        <f t="shared" si="20"/>
        <v>902</v>
      </c>
      <c r="L236" s="466">
        <v>1400</v>
      </c>
    </row>
    <row r="237" spans="1:12" x14ac:dyDescent="0.2">
      <c r="A237" s="1500" t="s">
        <v>165</v>
      </c>
      <c r="B237" s="611">
        <v>2190</v>
      </c>
      <c r="C237" s="613"/>
      <c r="D237" s="466">
        <v>17293</v>
      </c>
      <c r="E237" s="613"/>
      <c r="F237" s="613"/>
      <c r="G237" s="613"/>
      <c r="H237" s="613"/>
      <c r="I237" s="613"/>
      <c r="J237" s="613"/>
      <c r="K237" s="1667">
        <f t="shared" si="20"/>
        <v>17293</v>
      </c>
      <c r="L237" s="466">
        <v>16850</v>
      </c>
    </row>
    <row r="238" spans="1:12" ht="12.75" customHeight="1" thickBot="1" x14ac:dyDescent="0.25">
      <c r="A238" s="1664" t="s">
        <v>560</v>
      </c>
      <c r="B238" s="1671" t="s">
        <v>716</v>
      </c>
      <c r="C238" s="613"/>
      <c r="D238" s="1666">
        <f>SUM(D232:D237)</f>
        <v>28792</v>
      </c>
      <c r="E238" s="613"/>
      <c r="F238" s="613"/>
      <c r="G238" s="613"/>
      <c r="H238" s="613"/>
      <c r="I238" s="613"/>
      <c r="J238" s="613"/>
      <c r="K238" s="1666">
        <f>SUM(K232:K237)</f>
        <v>28792</v>
      </c>
      <c r="L238" s="1666">
        <f>SUM(L232:L237)</f>
        <v>29800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0</v>
      </c>
      <c r="E240" s="613"/>
      <c r="F240" s="613"/>
      <c r="G240" s="613"/>
      <c r="H240" s="613"/>
      <c r="I240" s="613"/>
      <c r="J240" s="613"/>
      <c r="K240" s="1668">
        <f>D240</f>
        <v>0</v>
      </c>
      <c r="L240" s="479">
        <v>0</v>
      </c>
    </row>
    <row r="241" spans="1:12" x14ac:dyDescent="0.2">
      <c r="A241" s="1500" t="s">
        <v>815</v>
      </c>
      <c r="B241" s="611">
        <v>2220</v>
      </c>
      <c r="C241" s="613"/>
      <c r="D241" s="466">
        <v>6411</v>
      </c>
      <c r="E241" s="613"/>
      <c r="F241" s="613"/>
      <c r="G241" s="613"/>
      <c r="H241" s="613"/>
      <c r="I241" s="613"/>
      <c r="J241" s="613"/>
      <c r="K241" s="1668">
        <f>D241</f>
        <v>6411</v>
      </c>
      <c r="L241" s="466">
        <v>2650</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6411</v>
      </c>
      <c r="E243" s="613"/>
      <c r="F243" s="613"/>
      <c r="G243" s="613"/>
      <c r="H243" s="613"/>
      <c r="I243" s="613"/>
      <c r="J243" s="613"/>
      <c r="K243" s="1666">
        <f>SUM(K240:K242)</f>
        <v>6411</v>
      </c>
      <c r="L243" s="1666">
        <f>SUM(L240:L242)</f>
        <v>2650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7766</v>
      </c>
      <c r="E245" s="613"/>
      <c r="F245" s="613"/>
      <c r="G245" s="613"/>
      <c r="H245" s="613"/>
      <c r="I245" s="613"/>
      <c r="J245" s="613"/>
      <c r="K245" s="1668">
        <f>D245</f>
        <v>7766</v>
      </c>
      <c r="L245" s="479">
        <v>3800</v>
      </c>
    </row>
    <row r="246" spans="1:12" x14ac:dyDescent="0.2">
      <c r="A246" s="1500" t="s">
        <v>818</v>
      </c>
      <c r="B246" s="611">
        <v>2320</v>
      </c>
      <c r="C246" s="613"/>
      <c r="D246" s="466">
        <v>4091</v>
      </c>
      <c r="E246" s="613"/>
      <c r="F246" s="613"/>
      <c r="G246" s="613"/>
      <c r="H246" s="613"/>
      <c r="I246" s="613"/>
      <c r="J246" s="613"/>
      <c r="K246" s="1668">
        <f t="shared" ref="K246:K256" si="21">D246</f>
        <v>4091</v>
      </c>
      <c r="L246" s="466">
        <v>8350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11857</v>
      </c>
      <c r="E257" s="613"/>
      <c r="F257" s="613"/>
      <c r="G257" s="613"/>
      <c r="H257" s="613"/>
      <c r="I257" s="613"/>
      <c r="J257" s="613"/>
      <c r="K257" s="1666">
        <f>SUM(K245:K256)</f>
        <v>11857</v>
      </c>
      <c r="L257" s="1666">
        <f>SUM(L245:L256)</f>
        <v>12150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14580</v>
      </c>
      <c r="E259" s="613"/>
      <c r="F259" s="613"/>
      <c r="G259" s="613"/>
      <c r="H259" s="613"/>
      <c r="I259" s="613"/>
      <c r="J259" s="613"/>
      <c r="K259" s="1668">
        <f>D259</f>
        <v>14580</v>
      </c>
      <c r="L259" s="479">
        <v>15320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14580</v>
      </c>
      <c r="E261" s="613"/>
      <c r="F261" s="613"/>
      <c r="G261" s="613"/>
      <c r="H261" s="613"/>
      <c r="I261" s="613"/>
      <c r="J261" s="613"/>
      <c r="K261" s="1666">
        <f>SUM(K259:K260)</f>
        <v>14580</v>
      </c>
      <c r="L261" s="1666">
        <f>SUM(L259:L260)</f>
        <v>15320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12733</v>
      </c>
      <c r="E264" s="613"/>
      <c r="F264" s="613"/>
      <c r="G264" s="613"/>
      <c r="H264" s="613"/>
      <c r="I264" s="613"/>
      <c r="J264" s="613"/>
      <c r="K264" s="1668">
        <f t="shared" ref="K264:K269" si="22">D264</f>
        <v>12733</v>
      </c>
      <c r="L264" s="466">
        <v>12800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55725</v>
      </c>
      <c r="E266" s="613"/>
      <c r="F266" s="613"/>
      <c r="G266" s="613"/>
      <c r="H266" s="613"/>
      <c r="I266" s="613"/>
      <c r="J266" s="613"/>
      <c r="K266" s="1668">
        <f t="shared" si="22"/>
        <v>55725</v>
      </c>
      <c r="L266" s="466">
        <v>58300</v>
      </c>
    </row>
    <row r="267" spans="1:14" x14ac:dyDescent="0.2">
      <c r="A267" s="1500" t="s">
        <v>953</v>
      </c>
      <c r="B267" s="611">
        <v>2550</v>
      </c>
      <c r="C267" s="613"/>
      <c r="D267" s="466">
        <v>6774</v>
      </c>
      <c r="E267" s="613"/>
      <c r="F267" s="613"/>
      <c r="G267" s="613"/>
      <c r="H267" s="613"/>
      <c r="I267" s="613"/>
      <c r="J267" s="613"/>
      <c r="K267" s="1668">
        <f t="shared" si="22"/>
        <v>6774</v>
      </c>
      <c r="L267" s="466">
        <v>6550</v>
      </c>
    </row>
    <row r="268" spans="1:14" x14ac:dyDescent="0.2">
      <c r="A268" s="1500" t="s">
        <v>100</v>
      </c>
      <c r="B268" s="611">
        <v>2560</v>
      </c>
      <c r="C268" s="613"/>
      <c r="D268" s="466">
        <v>20490</v>
      </c>
      <c r="E268" s="613"/>
      <c r="F268" s="613"/>
      <c r="G268" s="613"/>
      <c r="H268" s="613"/>
      <c r="I268" s="613"/>
      <c r="J268" s="613"/>
      <c r="K268" s="1668">
        <f t="shared" si="22"/>
        <v>20490</v>
      </c>
      <c r="L268" s="466">
        <v>19350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95722</v>
      </c>
      <c r="E270" s="613"/>
      <c r="F270" s="613"/>
      <c r="G270" s="613"/>
      <c r="H270" s="613"/>
      <c r="I270" s="613"/>
      <c r="J270" s="613"/>
      <c r="K270" s="1666">
        <f>SUM(K263:K269)</f>
        <v>95722</v>
      </c>
      <c r="L270" s="1666">
        <f>SUM(L263:L269)</f>
        <v>97000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157362</v>
      </c>
      <c r="E279" s="613"/>
      <c r="F279" s="613"/>
      <c r="G279" s="613"/>
      <c r="H279" s="613"/>
      <c r="I279" s="613"/>
      <c r="J279" s="613"/>
      <c r="K279" s="1673">
        <f>SUM(K238,K243,K257,K261,K270,K277,K278)</f>
        <v>157362</v>
      </c>
      <c r="L279" s="1673">
        <f>SUM(L238,L243,L257,L261,L270,L277,L278)</f>
        <v>156920</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0</v>
      </c>
      <c r="E283" s="613"/>
      <c r="F283" s="613"/>
      <c r="G283" s="613"/>
      <c r="H283" s="613"/>
      <c r="I283" s="613"/>
      <c r="J283" s="613"/>
      <c r="K283" s="1667">
        <f>D283</f>
        <v>0</v>
      </c>
      <c r="L283" s="466">
        <v>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0</v>
      </c>
      <c r="E285" s="613"/>
      <c r="F285" s="613"/>
      <c r="G285" s="613"/>
      <c r="H285" s="613"/>
      <c r="I285" s="613"/>
      <c r="J285" s="613"/>
      <c r="K285" s="1666">
        <f>SUM(K282:K284)</f>
        <v>0</v>
      </c>
      <c r="L285" s="1666">
        <f>SUM(L282:L284)</f>
        <v>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0</v>
      </c>
    </row>
    <row r="295" spans="1:14" ht="12.75" customHeight="1" thickTop="1" thickBot="1" x14ac:dyDescent="0.25">
      <c r="A295" s="2174" t="s">
        <v>505</v>
      </c>
      <c r="B295" s="2175"/>
      <c r="C295" s="613"/>
      <c r="D295" s="1666">
        <f>SUM(D229,D279,D280,D285)</f>
        <v>255666</v>
      </c>
      <c r="E295" s="613"/>
      <c r="F295" s="613"/>
      <c r="G295" s="613"/>
      <c r="H295" s="1666">
        <f>H293</f>
        <v>0</v>
      </c>
      <c r="I295" s="613"/>
      <c r="J295" s="613"/>
      <c r="K295" s="1666">
        <f>SUM(K229,K279,K280,K285,K293,K294)</f>
        <v>255666</v>
      </c>
      <c r="L295" s="1666">
        <f>SUM(L229,L279,L280,L285,L293,L294)</f>
        <v>256775</v>
      </c>
    </row>
    <row r="296" spans="1:14" ht="13.5" thickTop="1" x14ac:dyDescent="0.2">
      <c r="A296" s="2156" t="s">
        <v>996</v>
      </c>
      <c r="B296" s="2157"/>
      <c r="C296" s="613"/>
      <c r="D296" s="615"/>
      <c r="E296" s="613"/>
      <c r="F296" s="613"/>
      <c r="G296" s="613"/>
      <c r="H296" s="684"/>
      <c r="I296" s="613"/>
      <c r="J296" s="613"/>
      <c r="K296" s="1680">
        <f>'Revenues 9-14'!G268-'Expenditures 15-22'!K295</f>
        <v>-19938</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6" t="s">
        <v>143</v>
      </c>
      <c r="B298" s="2160"/>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34968</v>
      </c>
      <c r="F301" s="466">
        <v>81649</v>
      </c>
      <c r="G301" s="466">
        <v>148168</v>
      </c>
      <c r="H301" s="466">
        <v>0</v>
      </c>
      <c r="I301" s="467">
        <v>0</v>
      </c>
      <c r="J301" s="467">
        <v>0</v>
      </c>
      <c r="K301" s="1667">
        <f>SUM(C301:J301)</f>
        <v>264785</v>
      </c>
      <c r="L301" s="467">
        <v>280000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34968</v>
      </c>
      <c r="F303" s="1673">
        <f t="shared" si="23"/>
        <v>81649</v>
      </c>
      <c r="G303" s="1673">
        <f t="shared" si="23"/>
        <v>148168</v>
      </c>
      <c r="H303" s="1673">
        <f t="shared" si="23"/>
        <v>0</v>
      </c>
      <c r="I303" s="1673">
        <f t="shared" si="23"/>
        <v>0</v>
      </c>
      <c r="J303" s="1673">
        <f t="shared" si="23"/>
        <v>0</v>
      </c>
      <c r="K303" s="1673">
        <f t="shared" si="23"/>
        <v>264785</v>
      </c>
      <c r="L303" s="1673">
        <f t="shared" si="23"/>
        <v>280000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71" t="s">
        <v>277</v>
      </c>
      <c r="B312" s="2172"/>
      <c r="C312" s="1666">
        <f>SUM(C303)</f>
        <v>0</v>
      </c>
      <c r="D312" s="1666">
        <f>SUM(D303)</f>
        <v>0</v>
      </c>
      <c r="E312" s="1666">
        <f>SUM(E303,E310)</f>
        <v>34968</v>
      </c>
      <c r="F312" s="1666">
        <f>SUM(F303)</f>
        <v>81649</v>
      </c>
      <c r="G312" s="1666">
        <f>SUM(G303)</f>
        <v>148168</v>
      </c>
      <c r="H312" s="1666">
        <f>SUM(H303,H310)</f>
        <v>0</v>
      </c>
      <c r="I312" s="1666">
        <f>SUM(I303)</f>
        <v>0</v>
      </c>
      <c r="J312" s="1666">
        <f>SUM(J303)</f>
        <v>0</v>
      </c>
      <c r="K312" s="1666">
        <f>SUM(K303,K310,K311)</f>
        <v>264785</v>
      </c>
      <c r="L312" s="1666">
        <f>SUM(L303,L310,L311)</f>
        <v>280000</v>
      </c>
      <c r="M312" s="662"/>
      <c r="N312" s="662"/>
    </row>
    <row r="313" spans="1:14" ht="13.5" thickTop="1" x14ac:dyDescent="0.2">
      <c r="A313" s="2167" t="s">
        <v>996</v>
      </c>
      <c r="B313" s="2168"/>
      <c r="C313" s="623"/>
      <c r="D313" s="623"/>
      <c r="E313" s="623"/>
      <c r="F313" s="623"/>
      <c r="G313" s="623"/>
      <c r="H313" s="623"/>
      <c r="I313" s="623"/>
      <c r="J313" s="623"/>
      <c r="K313" s="1681">
        <f>'Revenues 9-14'!H268-'Expenditures 15-22'!K312</f>
        <v>-263480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80" t="s">
        <v>149</v>
      </c>
      <c r="B315" s="2181"/>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82" t="s">
        <v>898</v>
      </c>
      <c r="B317" s="2181"/>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16152</v>
      </c>
      <c r="F320" s="467">
        <v>0</v>
      </c>
      <c r="G320" s="467">
        <v>0</v>
      </c>
      <c r="H320" s="467">
        <v>0</v>
      </c>
      <c r="I320" s="467">
        <v>0</v>
      </c>
      <c r="J320" s="467">
        <v>0</v>
      </c>
      <c r="K320" s="1667">
        <f t="shared" ref="K320:K327" si="24">SUM(C320:J320)</f>
        <v>16152</v>
      </c>
      <c r="L320" s="467">
        <v>17000</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0</v>
      </c>
      <c r="M321" s="662"/>
      <c r="N321" s="662"/>
    </row>
    <row r="322" spans="1:14" s="671" customFormat="1" x14ac:dyDescent="0.2">
      <c r="A322" s="1515" t="s">
        <v>238</v>
      </c>
      <c r="B322" s="694" t="s">
        <v>284</v>
      </c>
      <c r="C322" s="467">
        <v>0</v>
      </c>
      <c r="D322" s="467">
        <v>0</v>
      </c>
      <c r="E322" s="467">
        <v>11449</v>
      </c>
      <c r="F322" s="467">
        <v>0</v>
      </c>
      <c r="G322" s="467">
        <v>0</v>
      </c>
      <c r="H322" s="467">
        <v>0</v>
      </c>
      <c r="I322" s="467">
        <v>0</v>
      </c>
      <c r="J322" s="467">
        <v>0</v>
      </c>
      <c r="K322" s="1667">
        <f t="shared" si="24"/>
        <v>11449</v>
      </c>
      <c r="L322" s="467">
        <v>12000</v>
      </c>
      <c r="M322" s="662"/>
      <c r="N322" s="662"/>
    </row>
    <row r="323" spans="1:14" s="671" customFormat="1" x14ac:dyDescent="0.2">
      <c r="A323" s="1515" t="s">
        <v>702</v>
      </c>
      <c r="B323" s="694" t="s">
        <v>285</v>
      </c>
      <c r="C323" s="467">
        <v>0</v>
      </c>
      <c r="D323" s="467">
        <v>0</v>
      </c>
      <c r="E323" s="467">
        <v>7637</v>
      </c>
      <c r="F323" s="467">
        <v>0</v>
      </c>
      <c r="G323" s="467">
        <v>0</v>
      </c>
      <c r="H323" s="467">
        <v>0</v>
      </c>
      <c r="I323" s="467">
        <v>0</v>
      </c>
      <c r="J323" s="467">
        <v>0</v>
      </c>
      <c r="K323" s="1667">
        <f t="shared" si="24"/>
        <v>7637</v>
      </c>
      <c r="L323" s="467">
        <v>10000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50500</v>
      </c>
      <c r="D325" s="467">
        <v>0</v>
      </c>
      <c r="E325" s="467">
        <v>14007</v>
      </c>
      <c r="F325" s="467">
        <v>1260</v>
      </c>
      <c r="G325" s="467">
        <v>0</v>
      </c>
      <c r="H325" s="467">
        <v>0</v>
      </c>
      <c r="I325" s="467">
        <v>0</v>
      </c>
      <c r="J325" s="467">
        <v>0</v>
      </c>
      <c r="K325" s="1667">
        <f t="shared" si="24"/>
        <v>65767</v>
      </c>
      <c r="L325" s="467">
        <v>72600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0</v>
      </c>
      <c r="F327" s="467">
        <v>0</v>
      </c>
      <c r="G327" s="467">
        <v>0</v>
      </c>
      <c r="H327" s="467">
        <v>0</v>
      </c>
      <c r="I327" s="467">
        <v>0</v>
      </c>
      <c r="J327" s="467">
        <v>0</v>
      </c>
      <c r="K327" s="1667">
        <f t="shared" si="24"/>
        <v>0</v>
      </c>
      <c r="L327" s="467">
        <v>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50500</v>
      </c>
      <c r="D330" s="1666">
        <f t="shared" ref="D330:J330" si="25">SUM(D319:D329)</f>
        <v>0</v>
      </c>
      <c r="E330" s="1666">
        <f t="shared" si="25"/>
        <v>49245</v>
      </c>
      <c r="F330" s="1666">
        <f t="shared" si="25"/>
        <v>1260</v>
      </c>
      <c r="G330" s="1666">
        <f t="shared" si="25"/>
        <v>0</v>
      </c>
      <c r="H330" s="1666">
        <f t="shared" si="25"/>
        <v>0</v>
      </c>
      <c r="I330" s="1666">
        <f t="shared" si="25"/>
        <v>0</v>
      </c>
      <c r="J330" s="1666">
        <f t="shared" si="25"/>
        <v>0</v>
      </c>
      <c r="K330" s="1666">
        <f>SUM(K319:K329)</f>
        <v>101005</v>
      </c>
      <c r="L330" s="1666">
        <f>SUM(L319:L329)</f>
        <v>111600</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50500</v>
      </c>
      <c r="D342" s="1666">
        <f>SUM(D330)</f>
        <v>0</v>
      </c>
      <c r="E342" s="1666">
        <f>SUM(E330)</f>
        <v>49245</v>
      </c>
      <c r="F342" s="1666">
        <f>SUM(F330)</f>
        <v>1260</v>
      </c>
      <c r="G342" s="1666">
        <f>SUM(G330)</f>
        <v>0</v>
      </c>
      <c r="H342" s="1666">
        <f>SUM(H330,H334,H340)</f>
        <v>0</v>
      </c>
      <c r="I342" s="1666">
        <f>SUM(I330)</f>
        <v>0</v>
      </c>
      <c r="J342" s="1666">
        <f>SUM(J330)</f>
        <v>0</v>
      </c>
      <c r="K342" s="1666">
        <f>SUM(K330,K334,K340)</f>
        <v>101005</v>
      </c>
      <c r="L342" s="1673">
        <f>SUM(L330,L340,L341)</f>
        <v>111600</v>
      </c>
    </row>
    <row r="343" spans="1:14" ht="12.75" customHeight="1" thickTop="1" x14ac:dyDescent="0.2">
      <c r="A343" s="2169" t="s">
        <v>996</v>
      </c>
      <c r="B343" s="2170"/>
      <c r="C343" s="613"/>
      <c r="D343" s="613"/>
      <c r="E343" s="613"/>
      <c r="F343" s="613"/>
      <c r="G343" s="613"/>
      <c r="H343" s="613"/>
      <c r="I343" s="613"/>
      <c r="J343" s="613"/>
      <c r="K343" s="1680">
        <f>'Revenues 9-14'!J268-'Expenditures 15-22'!K342</f>
        <v>6531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9" t="s">
        <v>966</v>
      </c>
      <c r="B345" s="2160"/>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0</v>
      </c>
      <c r="F349" s="466">
        <v>0</v>
      </c>
      <c r="G349" s="466">
        <v>0</v>
      </c>
      <c r="H349" s="466">
        <v>0</v>
      </c>
      <c r="I349" s="467">
        <v>0</v>
      </c>
      <c r="J349" s="467">
        <v>0</v>
      </c>
      <c r="K349" s="1667">
        <f>SUM(C349:J349)</f>
        <v>0</v>
      </c>
      <c r="L349" s="466">
        <v>0</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156" t="s">
        <v>996</v>
      </c>
      <c r="B368" s="2157"/>
      <c r="C368" s="651"/>
      <c r="D368" s="651"/>
      <c r="E368" s="623"/>
      <c r="F368" s="623"/>
      <c r="G368" s="623"/>
      <c r="H368" s="623"/>
      <c r="I368" s="623"/>
      <c r="J368" s="620"/>
      <c r="K368" s="1667">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4d435f69-8686-490b-bd6d-b153bf22ab50"/>
    <ds:schemaRef ds:uri="http://purl.org/dc/dcmitype/"/>
    <ds:schemaRef ds:uri="http://purl.org/dc/terms/"/>
    <ds:schemaRef ds:uri="http://purl.org/dc/elements/1.1/"/>
    <ds:schemaRef ds:uri="6ce3111e-7420-4802-b50a-75d4e9a0b980"/>
    <ds:schemaRef ds:uri="http://schemas.microsoft.com/office/2006/documentManagement/types"/>
    <ds:schemaRef ds:uri="http://schemas.microsoft.com/office/2006/metadata/properties"/>
    <ds:schemaRef ds:uri="http://schemas.openxmlformats.org/package/2006/metadata/core-properties"/>
    <ds:schemaRef ds:uri="http://schemas.microsoft.com/office/infopath/2007/PartnerControls"/>
    <ds:schemaRef ds:uri="d21dc803-237d-4c68-8692-8d731fd29118"/>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2019-09-17T14:03:30Z</cp:lastPrinted>
  <dcterms:created xsi:type="dcterms:W3CDTF">2003-10-29T19:06:34Z</dcterms:created>
  <dcterms:modified xsi:type="dcterms:W3CDTF">2019-11-19T15:39:07Z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